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71" activeTab="1"/>
  </bookViews>
  <sheets>
    <sheet name="Présentation" sheetId="1" r:id="rId1"/>
    <sheet name="Sommaire" sheetId="2" r:id="rId2"/>
    <sheet name="e1" sheetId="3" r:id="rId3"/>
    <sheet name="e2" sheetId="4" r:id="rId4"/>
    <sheet name="e3" sheetId="5" r:id="rId5"/>
    <sheet name="e4" sheetId="6" r:id="rId6"/>
    <sheet name="e10" sheetId="7" r:id="rId7"/>
    <sheet name="e11" sheetId="8" r:id="rId8"/>
    <sheet name="e12" sheetId="9" r:id="rId9"/>
    <sheet name="e13" sheetId="10" r:id="rId10"/>
    <sheet name="e14" sheetId="11" r:id="rId11"/>
    <sheet name="e15" sheetId="12" r:id="rId12"/>
    <sheet name="exemple" sheetId="13" r:id="rId13"/>
    <sheet name="e20" sheetId="14" r:id="rId14"/>
    <sheet name="e21" sheetId="15" r:id="rId15"/>
    <sheet name="e22" sheetId="16" r:id="rId16"/>
    <sheet name="e30" sheetId="17" r:id="rId17"/>
    <sheet name="e31" sheetId="18" r:id="rId18"/>
    <sheet name="e32" sheetId="19" r:id="rId19"/>
    <sheet name="e33" sheetId="20" r:id="rId20"/>
    <sheet name="e34" sheetId="21" r:id="rId21"/>
    <sheet name="e35" sheetId="22" r:id="rId22"/>
    <sheet name="e40" sheetId="23" r:id="rId23"/>
    <sheet name="e41" sheetId="24" r:id="rId24"/>
    <sheet name="e42" sheetId="25" r:id="rId25"/>
    <sheet name="e50" sheetId="26" r:id="rId26"/>
    <sheet name="e51" sheetId="27" r:id="rId27"/>
  </sheets>
  <definedNames/>
  <calcPr fullCalcOnLoad="1"/>
</workbook>
</file>

<file path=xl/sharedStrings.xml><?xml version="1.0" encoding="utf-8"?>
<sst xmlns="http://schemas.openxmlformats.org/spreadsheetml/2006/main" count="692" uniqueCount="163">
  <si>
    <t>de l'angle indiquer.</t>
  </si>
  <si>
    <t xml:space="preserve">En utilisant les lettres proposées, déterminer pour chaque triangle rectangle </t>
  </si>
  <si>
    <t>Exercice 1</t>
  </si>
  <si>
    <t>Côté opposé:</t>
  </si>
  <si>
    <t>Côté adjacent:</t>
  </si>
  <si>
    <t>Hypoténuse:</t>
  </si>
  <si>
    <t>l'hypoténuse, le côté opposé et le côté adjacent de l'angle indiquer.</t>
  </si>
  <si>
    <t>AB</t>
  </si>
  <si>
    <t>AC</t>
  </si>
  <si>
    <t>Exercice 2</t>
  </si>
  <si>
    <t>Exercice 3</t>
  </si>
  <si>
    <t>En utilisant la calculatrice effectuer les calculs suivants (donner les résultats à 0,001 près).</t>
  </si>
  <si>
    <t>sin 1,56 =</t>
  </si>
  <si>
    <t>sin 0,4 =</t>
  </si>
  <si>
    <t>cos 2,14 =</t>
  </si>
  <si>
    <t>tan 5,2 =</t>
  </si>
  <si>
    <t>tan (-2) =</t>
  </si>
  <si>
    <t>sin (-0.5) =</t>
  </si>
  <si>
    <t>cos (-3.4) =</t>
  </si>
  <si>
    <t>sin 0 =</t>
  </si>
  <si>
    <t>cos 0,9 =</t>
  </si>
  <si>
    <t>Les mesures d'angles sont en radians</t>
  </si>
  <si>
    <t>Les mesures d'angles sont en degrés</t>
  </si>
  <si>
    <t>sin 40 =</t>
  </si>
  <si>
    <t>cos 30 =</t>
  </si>
  <si>
    <t>tan 60 =</t>
  </si>
  <si>
    <t>tan (-60) =</t>
  </si>
  <si>
    <t>cos (-30) =</t>
  </si>
  <si>
    <t>sin (-150) =</t>
  </si>
  <si>
    <t>cos (45) =</t>
  </si>
  <si>
    <t>sin 45 =</t>
  </si>
  <si>
    <t>Cosinus</t>
  </si>
  <si>
    <t>Compléter les tableaux de valeurs suivants (donner les résultats à 0,001 près) :</t>
  </si>
  <si>
    <t>Mesures en degrés</t>
  </si>
  <si>
    <t>Sinus</t>
  </si>
  <si>
    <t>tangeante</t>
  </si>
  <si>
    <t>Compléter les tableaux de valeurs suivants (donner les résultats à l'unité près) :</t>
  </si>
  <si>
    <t>En utilisant la calculatrice effectuer les calculs suivants .</t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</si>
  <si>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</si>
  <si>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0,9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</si>
  <si>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0,5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</si>
  <si>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0,555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</si>
  <si>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0,784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</si>
  <si>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1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</si>
  <si>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(-1)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</si>
  <si>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(-0,784)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</si>
  <si>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0,707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</si>
  <si>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(-0,461)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</si>
  <si>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(-0,465) =</t>
    </r>
  </si>
  <si>
    <t>En utilisant la figure présentée compléter les égalités suivantes:</t>
  </si>
  <si>
    <t>sin X =</t>
  </si>
  <si>
    <t>cos X =</t>
  </si>
  <si>
    <t>tan X =</t>
  </si>
  <si>
    <t>sin Î =</t>
  </si>
  <si>
    <t>cos Î =</t>
  </si>
  <si>
    <t>tan Î =</t>
  </si>
  <si>
    <t>sin â =</t>
  </si>
  <si>
    <t>cos â =</t>
  </si>
  <si>
    <t>tan â =</t>
  </si>
  <si>
    <t>Détermination de la mesure d'un angle dans un triangle rectangle.</t>
  </si>
  <si>
    <t>Longueurs connues:</t>
  </si>
  <si>
    <r>
      <t>Exercice 1:</t>
    </r>
    <r>
      <rPr>
        <sz val="10"/>
        <rFont val="Arial"/>
        <family val="2"/>
      </rPr>
      <t xml:space="preserve"> Détermination de la mesure X</t>
    </r>
  </si>
  <si>
    <t>de chaque coté:</t>
  </si>
  <si>
    <t>=</t>
  </si>
  <si>
    <t>cm</t>
  </si>
  <si>
    <r>
      <t>Donner le nom (</t>
    </r>
    <r>
      <rPr>
        <b/>
        <sz val="10"/>
        <rFont val="Arial"/>
        <family val="2"/>
      </rPr>
      <t>opposé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adjacent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hypoténuse</t>
    </r>
    <r>
      <rPr>
        <sz val="10"/>
        <rFont val="Arial"/>
        <family val="2"/>
      </rPr>
      <t>)</t>
    </r>
  </si>
  <si>
    <t>:</t>
  </si>
  <si>
    <r>
      <t>Ligne trigonométrique utilisée (</t>
    </r>
    <r>
      <rPr>
        <b/>
        <sz val="10"/>
        <rFont val="Arial"/>
        <family val="2"/>
      </rPr>
      <t>sin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cos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tan</t>
    </r>
    <r>
      <rPr>
        <sz val="10"/>
        <rFont val="Arial"/>
        <family val="2"/>
      </rPr>
      <t>) :</t>
    </r>
  </si>
  <si>
    <t>X=</t>
  </si>
  <si>
    <t>Résultat à 0,001 près</t>
  </si>
  <si>
    <t>donc</t>
  </si>
  <si>
    <t>X =</t>
  </si>
  <si>
    <t>Résultat au degré près</t>
  </si>
  <si>
    <t>BC</t>
  </si>
  <si>
    <t>hypoténuse</t>
  </si>
  <si>
    <t>Détermination de la mesure d'un côté dans un triangle rectangle.</t>
  </si>
  <si>
    <t>Mesures connues:</t>
  </si>
  <si>
    <t>X</t>
  </si>
  <si>
    <t>degrés</t>
  </si>
  <si>
    <r>
      <t>Exercice 1:</t>
    </r>
    <r>
      <rPr>
        <sz val="10"/>
        <rFont val="Arial"/>
        <family val="2"/>
      </rPr>
      <t xml:space="preserve"> Détermination de la longueur</t>
    </r>
  </si>
  <si>
    <t>cos</t>
  </si>
  <si>
    <t>adjacent</t>
  </si>
  <si>
    <t>Résultat à 0,1 près</t>
  </si>
  <si>
    <r>
      <t>Conclusion</t>
    </r>
    <r>
      <rPr>
        <b/>
        <sz val="10"/>
        <rFont val="Arial"/>
        <family val="2"/>
      </rPr>
      <t>:</t>
    </r>
  </si>
  <si>
    <t>La longueur</t>
  </si>
  <si>
    <t>vaut</t>
  </si>
  <si>
    <t>mm</t>
  </si>
  <si>
    <t/>
  </si>
  <si>
    <t>m</t>
  </si>
  <si>
    <t>Résultat avec l'unité(ex:2.3cm)</t>
  </si>
  <si>
    <t>IJ</t>
  </si>
  <si>
    <t>IK</t>
  </si>
  <si>
    <t>Î</t>
  </si>
  <si>
    <t>a</t>
  </si>
  <si>
    <t>c</t>
  </si>
  <si>
    <t>â</t>
  </si>
  <si>
    <t>18.6m</t>
  </si>
  <si>
    <t>sin Y =</t>
  </si>
  <si>
    <t>cos Y =</t>
  </si>
  <si>
    <t>tan Y =</t>
  </si>
  <si>
    <t>Mesures</t>
  </si>
  <si>
    <t>Valeurs</t>
  </si>
  <si>
    <t>(donner les résultats à l'unité près) :</t>
  </si>
  <si>
    <t>Compléter les tableaux de valeurs pour les triangles rectangles ABC suivants suivants</t>
  </si>
  <si>
    <t>angle en A</t>
  </si>
  <si>
    <t>angle en B</t>
  </si>
  <si>
    <t>angle en C</t>
  </si>
  <si>
    <t>90°</t>
  </si>
  <si>
    <t>Il est conseillé de faire une figure.</t>
  </si>
  <si>
    <t>53°</t>
  </si>
  <si>
    <t>55°</t>
  </si>
  <si>
    <t>70°</t>
  </si>
  <si>
    <r>
      <t>Exercice:</t>
    </r>
    <r>
      <rPr>
        <sz val="10"/>
        <rFont val="Arial"/>
        <family val="2"/>
      </rPr>
      <t xml:space="preserve"> </t>
    </r>
  </si>
  <si>
    <t>Donner les mesures d'angles en radians à 0,001 près</t>
  </si>
  <si>
    <t>Donner les mesures d'angles au degré près</t>
  </si>
  <si>
    <r>
      <t>Pour chaque triangle rectangle indiquer l'</t>
    </r>
    <r>
      <rPr>
        <b/>
        <sz val="10"/>
        <rFont val="Arial"/>
        <family val="2"/>
      </rPr>
      <t>hypoténuse</t>
    </r>
    <r>
      <rPr>
        <sz val="10"/>
        <rFont val="Arial"/>
        <family val="2"/>
      </rPr>
      <t xml:space="preserve">, le côté </t>
    </r>
    <r>
      <rPr>
        <b/>
        <sz val="10"/>
        <rFont val="Arial"/>
        <family val="2"/>
      </rPr>
      <t>opposé</t>
    </r>
    <r>
      <rPr>
        <sz val="10"/>
        <rFont val="Arial"/>
        <family val="2"/>
      </rPr>
      <t xml:space="preserve"> et le côté </t>
    </r>
    <r>
      <rPr>
        <b/>
        <sz val="10"/>
        <rFont val="Arial"/>
        <family val="2"/>
      </rPr>
      <t>adjacent</t>
    </r>
    <r>
      <rPr>
        <sz val="10"/>
        <rFont val="Arial"/>
        <family val="2"/>
      </rPr>
      <t xml:space="preserve"> </t>
    </r>
  </si>
  <si>
    <t>36°</t>
  </si>
  <si>
    <t>Ce logiciel fonctionne sur Excel.</t>
  </si>
  <si>
    <t>Il a été conçu pour un travail individuel des élèves placés en situation dans une salle informatique.</t>
  </si>
  <si>
    <t>Si une erreur, un défaut ou une aberration pédagogique subsistait dans sa conception vous pouvez m'en faire part.</t>
  </si>
  <si>
    <t>Si vous êtes intéressé par la conception d'autres logiciels de ce type, je serais heureux d'y participer.</t>
  </si>
  <si>
    <t>Dominique BIZEUL professeur de Maths/Sciences</t>
  </si>
  <si>
    <t>LP BEAUREGARD à LUXEUIL-LES BAINS</t>
  </si>
  <si>
    <t>E-mail : d.bizeul@wanadoo.fr</t>
  </si>
  <si>
    <t>SOMMAIRE</t>
  </si>
  <si>
    <t>e1</t>
  </si>
  <si>
    <t>e2</t>
  </si>
  <si>
    <t>e3</t>
  </si>
  <si>
    <t>e4</t>
  </si>
  <si>
    <r>
      <t>Exercices</t>
    </r>
    <r>
      <rPr>
        <b/>
        <sz val="12"/>
        <rFont val="Arial"/>
        <family val="2"/>
      </rPr>
      <t>:</t>
    </r>
  </si>
  <si>
    <t>Utilisation de la calculatrice</t>
  </si>
  <si>
    <t>e10</t>
  </si>
  <si>
    <t>e11</t>
  </si>
  <si>
    <t>e12</t>
  </si>
  <si>
    <t>e13</t>
  </si>
  <si>
    <t>e14</t>
  </si>
  <si>
    <t>e15</t>
  </si>
  <si>
    <t>exemple</t>
  </si>
  <si>
    <t>e20</t>
  </si>
  <si>
    <t>e21</t>
  </si>
  <si>
    <t>e22</t>
  </si>
  <si>
    <t>Détermination de la mesure d'un angle</t>
  </si>
  <si>
    <r>
      <t>Sujet</t>
    </r>
    <r>
      <rPr>
        <b/>
        <sz val="14"/>
        <rFont val="Arial"/>
        <family val="2"/>
      </rPr>
      <t xml:space="preserve"> : résolutions de triangles rectangles</t>
    </r>
  </si>
  <si>
    <r>
      <t>Exemple</t>
    </r>
    <r>
      <rPr>
        <b/>
        <sz val="12"/>
        <rFont val="Arial"/>
        <family val="2"/>
      </rPr>
      <t>:</t>
    </r>
  </si>
  <si>
    <t>Exemple de de résolution</t>
  </si>
  <si>
    <t>Situation des différents côtés et applications</t>
  </si>
  <si>
    <t>e30</t>
  </si>
  <si>
    <t>e31</t>
  </si>
  <si>
    <t>e32</t>
  </si>
  <si>
    <t>e33</t>
  </si>
  <si>
    <t>e34</t>
  </si>
  <si>
    <t>e35</t>
  </si>
  <si>
    <t>Détermination de la mesure d'un des côtés</t>
  </si>
  <si>
    <t>e40</t>
  </si>
  <si>
    <t>e41</t>
  </si>
  <si>
    <t>e42</t>
  </si>
  <si>
    <t>Détermination des mesures des côtés</t>
  </si>
  <si>
    <t>e50</t>
  </si>
  <si>
    <t>e51</t>
  </si>
  <si>
    <t>Résolution de triangles rectangles</t>
  </si>
  <si>
    <t>Sommaire</t>
  </si>
  <si>
    <t>Précédent</t>
  </si>
  <si>
    <t>Suivant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</si>
</sst>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0_ ;\(\-0\)"/>
    <numFmt numFmtId="174" formatCode="0.0_ ;\-0.0\ "/>
    <numFmt numFmtId="175" formatCode="0.0_ ;\(\-0.0\)"/>
    <numFmt numFmtId="176" formatCode="0.00_ ;\(\-0.0\)"/>
    <numFmt numFmtId="177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 locked="0"/>
    </xf>
    <xf numFmtId="0" fontId="0" fillId="4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15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10" fillId="3" borderId="0" xfId="15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0" borderId="0" xfId="15" applyFill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10" fillId="0" borderId="0" xfId="15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0" fillId="0" borderId="0" xfId="15" applyFill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0" fillId="4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0" fontId="1" fillId="3" borderId="0" xfId="0" applyFont="1" applyFill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Equation2" xfId="19"/>
    <cellStyle name="Milliers_Equation2" xfId="20"/>
    <cellStyle name="Currency" xfId="21"/>
    <cellStyle name="Currency [0]" xfId="22"/>
    <cellStyle name="Monétaire [0]_Equation2" xfId="23"/>
    <cellStyle name="Monétaire_Equation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76200</xdr:rowOff>
    </xdr:from>
    <xdr:to>
      <xdr:col>3</xdr:col>
      <xdr:colOff>219075</xdr:colOff>
      <xdr:row>8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847725" y="723900"/>
          <a:ext cx="1733550" cy="695325"/>
          <a:chOff x="89" y="76"/>
          <a:chExt cx="182" cy="73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9" y="76"/>
            <a:ext cx="182" cy="73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rc 2"/>
          <xdr:cNvSpPr>
            <a:spLocks/>
          </xdr:cNvSpPr>
        </xdr:nvSpPr>
        <xdr:spPr>
          <a:xfrm flipH="1">
            <a:off x="196" y="122"/>
            <a:ext cx="8" cy="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182" y="127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</xdr:col>
      <xdr:colOff>171450</xdr:colOff>
      <xdr:row>13</xdr:row>
      <xdr:rowOff>0</xdr:rowOff>
    </xdr:from>
    <xdr:to>
      <xdr:col>1</xdr:col>
      <xdr:colOff>361950</xdr:colOff>
      <xdr:row>13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33450" y="2105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85725</xdr:colOff>
      <xdr:row>4</xdr:row>
      <xdr:rowOff>76200</xdr:rowOff>
    </xdr:from>
    <xdr:to>
      <xdr:col>7</xdr:col>
      <xdr:colOff>219075</xdr:colOff>
      <xdr:row>8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3971925" y="723900"/>
          <a:ext cx="1657350" cy="6953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95250</xdr:rowOff>
    </xdr:from>
    <xdr:to>
      <xdr:col>5</xdr:col>
      <xdr:colOff>361950</xdr:colOff>
      <xdr:row>6</xdr:row>
      <xdr:rowOff>123825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4057650" y="90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85725</xdr:colOff>
      <xdr:row>5</xdr:row>
      <xdr:rowOff>0</xdr:rowOff>
    </xdr:from>
    <xdr:to>
      <xdr:col>5</xdr:col>
      <xdr:colOff>314325</xdr:colOff>
      <xdr:row>5</xdr:row>
      <xdr:rowOff>104775</xdr:rowOff>
    </xdr:to>
    <xdr:sp>
      <xdr:nvSpPr>
        <xdr:cNvPr id="8" name="Arc 15"/>
        <xdr:cNvSpPr>
          <a:spLocks/>
        </xdr:cNvSpPr>
      </xdr:nvSpPr>
      <xdr:spPr>
        <a:xfrm flipV="1">
          <a:off x="3971925" y="809625"/>
          <a:ext cx="228600" cy="104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0</xdr:rowOff>
    </xdr:from>
    <xdr:to>
      <xdr:col>2</xdr:col>
      <xdr:colOff>0</xdr:colOff>
      <xdr:row>27</xdr:row>
      <xdr:rowOff>9525</xdr:rowOff>
    </xdr:to>
    <xdr:grpSp>
      <xdr:nvGrpSpPr>
        <xdr:cNvPr id="9" name="Group 18"/>
        <xdr:cNvGrpSpPr>
          <a:grpSpLocks/>
        </xdr:cNvGrpSpPr>
      </xdr:nvGrpSpPr>
      <xdr:grpSpPr>
        <a:xfrm>
          <a:off x="457200" y="2752725"/>
          <a:ext cx="1066800" cy="1628775"/>
          <a:chOff x="48" y="289"/>
          <a:chExt cx="112" cy="171"/>
        </a:xfrm>
        <a:solidFill>
          <a:srgbClr val="FFFFFF"/>
        </a:solidFill>
      </xdr:grpSpPr>
      <xdr:sp>
        <xdr:nvSpPr>
          <xdr:cNvPr id="10" name="AutoShape 10"/>
          <xdr:cNvSpPr>
            <a:spLocks/>
          </xdr:cNvSpPr>
        </xdr:nvSpPr>
        <xdr:spPr>
          <a:xfrm rot="8066698">
            <a:off x="61" y="289"/>
            <a:ext cx="99" cy="171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rc 16"/>
          <xdr:cNvSpPr>
            <a:spLocks/>
          </xdr:cNvSpPr>
        </xdr:nvSpPr>
        <xdr:spPr>
          <a:xfrm>
            <a:off x="48" y="366"/>
            <a:ext cx="1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59" y="360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4</xdr:col>
      <xdr:colOff>704850</xdr:colOff>
      <xdr:row>14</xdr:row>
      <xdr:rowOff>142875</xdr:rowOff>
    </xdr:from>
    <xdr:to>
      <xdr:col>5</xdr:col>
      <xdr:colOff>723900</xdr:colOff>
      <xdr:row>23</xdr:row>
      <xdr:rowOff>152400</xdr:rowOff>
    </xdr:to>
    <xdr:sp>
      <xdr:nvSpPr>
        <xdr:cNvPr id="13" name="AutoShape 23"/>
        <xdr:cNvSpPr>
          <a:spLocks/>
        </xdr:cNvSpPr>
      </xdr:nvSpPr>
      <xdr:spPr>
        <a:xfrm rot="16200000">
          <a:off x="3829050" y="2409825"/>
          <a:ext cx="781050" cy="14668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152400</xdr:rowOff>
    </xdr:from>
    <xdr:to>
      <xdr:col>5</xdr:col>
      <xdr:colOff>733425</xdr:colOff>
      <xdr:row>17</xdr:row>
      <xdr:rowOff>66675</xdr:rowOff>
    </xdr:to>
    <xdr:sp>
      <xdr:nvSpPr>
        <xdr:cNvPr id="14" name="Arc 24"/>
        <xdr:cNvSpPr>
          <a:spLocks/>
        </xdr:cNvSpPr>
      </xdr:nvSpPr>
      <xdr:spPr>
        <a:xfrm flipV="1">
          <a:off x="4400550" y="2743200"/>
          <a:ext cx="219075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47625</xdr:rowOff>
    </xdr:from>
    <xdr:to>
      <xdr:col>5</xdr:col>
      <xdr:colOff>704850</xdr:colOff>
      <xdr:row>18</xdr:row>
      <xdr:rowOff>76200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400550" y="2800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3771900" y="333375"/>
          <a:ext cx="1885950" cy="160020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8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47625</xdr:rowOff>
    </xdr:from>
    <xdr:to>
      <xdr:col>10</xdr:col>
      <xdr:colOff>581025</xdr:colOff>
      <xdr:row>10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914775" y="533400"/>
          <a:ext cx="1533525" cy="11811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9525</xdr:rowOff>
    </xdr:from>
    <xdr:to>
      <xdr:col>8</xdr:col>
      <xdr:colOff>238125</xdr:colOff>
      <xdr:row>3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71900" y="333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600075</xdr:colOff>
      <xdr:row>9</xdr:row>
      <xdr:rowOff>133350</xdr:rowOff>
    </xdr:from>
    <xdr:to>
      <xdr:col>11</xdr:col>
      <xdr:colOff>28575</xdr:colOff>
      <xdr:row>11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67350" y="15906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257175</xdr:colOff>
      <xdr:row>11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90950" y="1657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638175</xdr:colOff>
      <xdr:row>8</xdr:row>
      <xdr:rowOff>85725</xdr:rowOff>
    </xdr:from>
    <xdr:to>
      <xdr:col>10</xdr:col>
      <xdr:colOff>66675</xdr:colOff>
      <xdr:row>10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7434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104775</xdr:colOff>
      <xdr:row>8</xdr:row>
      <xdr:rowOff>123825</xdr:rowOff>
    </xdr:from>
    <xdr:to>
      <xdr:col>10</xdr:col>
      <xdr:colOff>190500</xdr:colOff>
      <xdr:row>10</xdr:row>
      <xdr:rowOff>95250</xdr:rowOff>
    </xdr:to>
    <xdr:sp>
      <xdr:nvSpPr>
        <xdr:cNvPr id="6" name="Arc 8"/>
        <xdr:cNvSpPr>
          <a:spLocks/>
        </xdr:cNvSpPr>
      </xdr:nvSpPr>
      <xdr:spPr>
        <a:xfrm flipH="1">
          <a:off x="4972050" y="1419225"/>
          <a:ext cx="857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47625</xdr:rowOff>
    </xdr:from>
    <xdr:to>
      <xdr:col>10</xdr:col>
      <xdr:colOff>581025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914775" y="533400"/>
          <a:ext cx="1533525" cy="11811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9525</xdr:rowOff>
    </xdr:from>
    <xdr:to>
      <xdr:col>8</xdr:col>
      <xdr:colOff>238125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71900" y="333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600075</xdr:colOff>
      <xdr:row>9</xdr:row>
      <xdr:rowOff>133350</xdr:rowOff>
    </xdr:from>
    <xdr:to>
      <xdr:col>11</xdr:col>
      <xdr:colOff>28575</xdr:colOff>
      <xdr:row>11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67350" y="15906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257175</xdr:colOff>
      <xdr:row>11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90950" y="1657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638175</xdr:colOff>
      <xdr:row>8</xdr:row>
      <xdr:rowOff>85725</xdr:rowOff>
    </xdr:from>
    <xdr:to>
      <xdr:col>10</xdr:col>
      <xdr:colOff>66675</xdr:colOff>
      <xdr:row>10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4345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104775</xdr:colOff>
      <xdr:row>8</xdr:row>
      <xdr:rowOff>123825</xdr:rowOff>
    </xdr:from>
    <xdr:to>
      <xdr:col>10</xdr:col>
      <xdr:colOff>190500</xdr:colOff>
      <xdr:row>10</xdr:row>
      <xdr:rowOff>95250</xdr:rowOff>
    </xdr:to>
    <xdr:sp>
      <xdr:nvSpPr>
        <xdr:cNvPr id="6" name="Arc 6"/>
        <xdr:cNvSpPr>
          <a:spLocks/>
        </xdr:cNvSpPr>
      </xdr:nvSpPr>
      <xdr:spPr>
        <a:xfrm flipH="1">
          <a:off x="4972050" y="1419225"/>
          <a:ext cx="857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133350</xdr:rowOff>
    </xdr:from>
    <xdr:to>
      <xdr:col>10</xdr:col>
      <xdr:colOff>466725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 rot="7020505">
          <a:off x="4152900" y="619125"/>
          <a:ext cx="1181100" cy="15335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8</xdr:col>
      <xdr:colOff>190500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24275" y="1762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752475</xdr:colOff>
      <xdr:row>5</xdr:row>
      <xdr:rowOff>66675</xdr:rowOff>
    </xdr:from>
    <xdr:to>
      <xdr:col>11</xdr:col>
      <xdr:colOff>180975</xdr:colOff>
      <xdr:row>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19750" y="8763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333375</xdr:colOff>
      <xdr:row>1</xdr:row>
      <xdr:rowOff>114300</xdr:rowOff>
    </xdr:from>
    <xdr:to>
      <xdr:col>9</xdr:col>
      <xdr:colOff>523875</xdr:colOff>
      <xdr:row>3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38650" y="276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266700</xdr:colOff>
      <xdr:row>5</xdr:row>
      <xdr:rowOff>38100</xdr:rowOff>
    </xdr:from>
    <xdr:to>
      <xdr:col>10</xdr:col>
      <xdr:colOff>457200</xdr:colOff>
      <xdr:row>6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8477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419100</xdr:colOff>
      <xdr:row>5</xdr:row>
      <xdr:rowOff>38100</xdr:rowOff>
    </xdr:from>
    <xdr:to>
      <xdr:col>10</xdr:col>
      <xdr:colOff>504825</xdr:colOff>
      <xdr:row>7</xdr:row>
      <xdr:rowOff>9525</xdr:rowOff>
    </xdr:to>
    <xdr:sp>
      <xdr:nvSpPr>
        <xdr:cNvPr id="6" name="Arc 6"/>
        <xdr:cNvSpPr>
          <a:spLocks/>
        </xdr:cNvSpPr>
      </xdr:nvSpPr>
      <xdr:spPr>
        <a:xfrm flipH="1">
          <a:off x="5286375" y="847725"/>
          <a:ext cx="857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152400</xdr:rowOff>
    </xdr:from>
    <xdr:to>
      <xdr:col>10</xdr:col>
      <xdr:colOff>638175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 rot="11646872">
          <a:off x="3971925" y="800100"/>
          <a:ext cx="1533525" cy="11811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66675</xdr:rowOff>
    </xdr:from>
    <xdr:to>
      <xdr:col>11</xdr:col>
      <xdr:colOff>190500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29275" y="8763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10</xdr:col>
      <xdr:colOff>381000</xdr:colOff>
      <xdr:row>13</xdr:row>
      <xdr:rowOff>19050</xdr:rowOff>
    </xdr:from>
    <xdr:to>
      <xdr:col>10</xdr:col>
      <xdr:colOff>571500</xdr:colOff>
      <xdr:row>14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48275" y="2124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8</xdr:col>
      <xdr:colOff>304800</xdr:colOff>
      <xdr:row>2</xdr:row>
      <xdr:rowOff>133350</xdr:rowOff>
    </xdr:from>
    <xdr:to>
      <xdr:col>9</xdr:col>
      <xdr:colOff>114300</xdr:colOff>
      <xdr:row>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29075" y="457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10</xdr:col>
      <xdr:colOff>333375</xdr:colOff>
      <xdr:row>10</xdr:row>
      <xdr:rowOff>47625</xdr:rowOff>
    </xdr:from>
    <xdr:to>
      <xdr:col>10</xdr:col>
      <xdr:colOff>523875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  <xdr:twoCellAnchor>
    <xdr:from>
      <xdr:col>10</xdr:col>
      <xdr:colOff>228600</xdr:colOff>
      <xdr:row>11</xdr:row>
      <xdr:rowOff>76200</xdr:rowOff>
    </xdr:from>
    <xdr:to>
      <xdr:col>10</xdr:col>
      <xdr:colOff>533400</xdr:colOff>
      <xdr:row>11</xdr:row>
      <xdr:rowOff>152400</xdr:rowOff>
    </xdr:to>
    <xdr:sp>
      <xdr:nvSpPr>
        <xdr:cNvPr id="6" name="Arc 7"/>
        <xdr:cNvSpPr>
          <a:spLocks/>
        </xdr:cNvSpPr>
      </xdr:nvSpPr>
      <xdr:spPr>
        <a:xfrm>
          <a:off x="5095875" y="1857375"/>
          <a:ext cx="30480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28575</xdr:rowOff>
    </xdr:from>
    <xdr:to>
      <xdr:col>10</xdr:col>
      <xdr:colOff>285750</xdr:colOff>
      <xdr:row>12</xdr:row>
      <xdr:rowOff>57150</xdr:rowOff>
    </xdr:to>
    <xdr:sp>
      <xdr:nvSpPr>
        <xdr:cNvPr id="1" name="AutoShape 1"/>
        <xdr:cNvSpPr>
          <a:spLocks/>
        </xdr:cNvSpPr>
      </xdr:nvSpPr>
      <xdr:spPr>
        <a:xfrm rot="11646872">
          <a:off x="3724275" y="514350"/>
          <a:ext cx="1428750" cy="14859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323850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38625" y="11811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352425</xdr:colOff>
      <xdr:row>7</xdr:row>
      <xdr:rowOff>133350</xdr:rowOff>
    </xdr:from>
    <xdr:to>
      <xdr:col>10</xdr:col>
      <xdr:colOff>542925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19700" y="12668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533400</xdr:colOff>
      <xdr:row>2</xdr:row>
      <xdr:rowOff>38100</xdr:rowOff>
    </xdr:from>
    <xdr:to>
      <xdr:col>9</xdr:col>
      <xdr:colOff>723900</xdr:colOff>
      <xdr:row>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38675" y="361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685800</xdr:colOff>
      <xdr:row>9</xdr:row>
      <xdr:rowOff>114300</xdr:rowOff>
    </xdr:from>
    <xdr:to>
      <xdr:col>10</xdr:col>
      <xdr:colOff>114300</xdr:colOff>
      <xdr:row>11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91075" y="15716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â</a:t>
          </a:r>
        </a:p>
      </xdr:txBody>
    </xdr:sp>
    <xdr:clientData/>
  </xdr:twoCellAnchor>
  <xdr:twoCellAnchor>
    <xdr:from>
      <xdr:col>9</xdr:col>
      <xdr:colOff>619125</xdr:colOff>
      <xdr:row>10</xdr:row>
      <xdr:rowOff>123825</xdr:rowOff>
    </xdr:from>
    <xdr:to>
      <xdr:col>10</xdr:col>
      <xdr:colOff>161925</xdr:colOff>
      <xdr:row>11</xdr:row>
      <xdr:rowOff>38100</xdr:rowOff>
    </xdr:to>
    <xdr:sp>
      <xdr:nvSpPr>
        <xdr:cNvPr id="6" name="Arc 6"/>
        <xdr:cNvSpPr>
          <a:spLocks/>
        </xdr:cNvSpPr>
      </xdr:nvSpPr>
      <xdr:spPr>
        <a:xfrm>
          <a:off x="4724400" y="1743075"/>
          <a:ext cx="30480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71900" y="333375"/>
          <a:ext cx="1885950" cy="160020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3771900" y="333375"/>
          <a:ext cx="1885950" cy="1600200"/>
          <a:chOff x="366" y="35"/>
          <a:chExt cx="198" cy="168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5" name="Group 24"/>
        <xdr:cNvGrpSpPr>
          <a:grpSpLocks/>
        </xdr:cNvGrpSpPr>
      </xdr:nvGrpSpPr>
      <xdr:grpSpPr>
        <a:xfrm>
          <a:off x="3771900" y="333375"/>
          <a:ext cx="1885950" cy="1600200"/>
          <a:chOff x="396" y="35"/>
          <a:chExt cx="198" cy="168"/>
        </a:xfrm>
        <a:solidFill>
          <a:srgbClr val="FFFFFF"/>
        </a:solidFill>
      </xdr:grpSpPr>
      <xdr:grpSp>
        <xdr:nvGrpSpPr>
          <xdr:cNvPr id="16" name="Group 23"/>
          <xdr:cNvGrpSpPr>
            <a:grpSpLocks/>
          </xdr:cNvGrpSpPr>
        </xdr:nvGrpSpPr>
        <xdr:grpSpPr>
          <a:xfrm>
            <a:off x="396" y="35"/>
            <a:ext cx="198" cy="168"/>
            <a:chOff x="396" y="35"/>
            <a:chExt cx="198" cy="168"/>
          </a:xfrm>
          <a:solidFill>
            <a:srgbClr val="FFFFFF"/>
          </a:solidFill>
        </xdr:grpSpPr>
        <xdr:sp>
          <xdr:nvSpPr>
            <xdr:cNvPr id="17" name="AutoShape 16"/>
            <xdr:cNvSpPr>
              <a:spLocks/>
            </xdr:cNvSpPr>
          </xdr:nvSpPr>
          <xdr:spPr>
            <a:xfrm>
              <a:off x="411" y="56"/>
              <a:ext cx="161" cy="124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17"/>
            <xdr:cNvSpPr txBox="1">
              <a:spLocks noChangeArrowheads="1"/>
            </xdr:cNvSpPr>
          </xdr:nvSpPr>
          <xdr:spPr>
            <a:xfrm>
              <a:off x="396" y="35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9" name="TextBox 18"/>
            <xdr:cNvSpPr txBox="1">
              <a:spLocks noChangeArrowheads="1"/>
            </xdr:cNvSpPr>
          </xdr:nvSpPr>
          <xdr:spPr>
            <a:xfrm>
              <a:off x="574" y="167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0" name="TextBox 19"/>
            <xdr:cNvSpPr txBox="1">
              <a:spLocks noChangeArrowheads="1"/>
            </xdr:cNvSpPr>
          </xdr:nvSpPr>
          <xdr:spPr>
            <a:xfrm>
              <a:off x="398" y="174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21" name="TextBox 20"/>
            <xdr:cNvSpPr txBox="1">
              <a:spLocks noChangeArrowheads="1"/>
            </xdr:cNvSpPr>
          </xdr:nvSpPr>
          <xdr:spPr>
            <a:xfrm>
              <a:off x="503" y="150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</xdr:grpSp>
      <xdr:sp>
        <xdr:nvSpPr>
          <xdr:cNvPr id="22" name="Arc 22"/>
          <xdr:cNvSpPr>
            <a:spLocks/>
          </xdr:cNvSpPr>
        </xdr:nvSpPr>
        <xdr:spPr>
          <a:xfrm flipH="1">
            <a:off x="522" y="155"/>
            <a:ext cx="16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0</xdr:rowOff>
    </xdr:from>
    <xdr:to>
      <xdr:col>2</xdr:col>
      <xdr:colOff>0</xdr:colOff>
      <xdr:row>14</xdr:row>
      <xdr:rowOff>9525</xdr:rowOff>
    </xdr:to>
    <xdr:sp>
      <xdr:nvSpPr>
        <xdr:cNvPr id="1" name="AutoShape 2"/>
        <xdr:cNvSpPr>
          <a:spLocks/>
        </xdr:cNvSpPr>
      </xdr:nvSpPr>
      <xdr:spPr>
        <a:xfrm rot="8066698">
          <a:off x="581025" y="647700"/>
          <a:ext cx="9429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57150</xdr:rowOff>
    </xdr:from>
    <xdr:to>
      <xdr:col>2</xdr:col>
      <xdr:colOff>200025</xdr:colOff>
      <xdr:row>7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33525" y="1028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114300</xdr:colOff>
      <xdr:row>6</xdr:row>
      <xdr:rowOff>57150</xdr:rowOff>
    </xdr:from>
    <xdr:to>
      <xdr:col>2</xdr:col>
      <xdr:colOff>247650</xdr:colOff>
      <xdr:row>8</xdr:row>
      <xdr:rowOff>0</xdr:rowOff>
    </xdr:to>
    <xdr:sp>
      <xdr:nvSpPr>
        <xdr:cNvPr id="3" name="Arc 5"/>
        <xdr:cNvSpPr>
          <a:spLocks/>
        </xdr:cNvSpPr>
      </xdr:nvSpPr>
      <xdr:spPr>
        <a:xfrm flipH="1">
          <a:off x="1638300" y="1028700"/>
          <a:ext cx="133350" cy="2667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</xdr:row>
      <xdr:rowOff>152400</xdr:rowOff>
    </xdr:from>
    <xdr:to>
      <xdr:col>6</xdr:col>
      <xdr:colOff>304800</xdr:colOff>
      <xdr:row>14</xdr:row>
      <xdr:rowOff>0</xdr:rowOff>
    </xdr:to>
    <xdr:sp>
      <xdr:nvSpPr>
        <xdr:cNvPr id="4" name="AutoShape 6"/>
        <xdr:cNvSpPr>
          <a:spLocks/>
        </xdr:cNvSpPr>
      </xdr:nvSpPr>
      <xdr:spPr>
        <a:xfrm rot="8064560">
          <a:off x="3362325" y="962025"/>
          <a:ext cx="1304925" cy="13049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</xdr:row>
      <xdr:rowOff>95250</xdr:rowOff>
    </xdr:from>
    <xdr:to>
      <xdr:col>4</xdr:col>
      <xdr:colOff>628650</xdr:colOff>
      <xdr:row>10</xdr:row>
      <xdr:rowOff>0</xdr:rowOff>
    </xdr:to>
    <xdr:sp>
      <xdr:nvSpPr>
        <xdr:cNvPr id="5" name="Arc 7"/>
        <xdr:cNvSpPr>
          <a:spLocks/>
        </xdr:cNvSpPr>
      </xdr:nvSpPr>
      <xdr:spPr>
        <a:xfrm>
          <a:off x="3333750" y="1390650"/>
          <a:ext cx="13335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66675</xdr:rowOff>
    </xdr:from>
    <xdr:to>
      <xdr:col>5</xdr:col>
      <xdr:colOff>28575</xdr:colOff>
      <xdr:row>9</xdr:row>
      <xdr:rowOff>95250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38525" y="1362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2</xdr:col>
      <xdr:colOff>0</xdr:colOff>
      <xdr:row>26</xdr:row>
      <xdr:rowOff>9525</xdr:rowOff>
    </xdr:to>
    <xdr:sp>
      <xdr:nvSpPr>
        <xdr:cNvPr id="7" name="AutoShape 10"/>
        <xdr:cNvSpPr>
          <a:spLocks/>
        </xdr:cNvSpPr>
      </xdr:nvSpPr>
      <xdr:spPr>
        <a:xfrm rot="8066698">
          <a:off x="581025" y="2590800"/>
          <a:ext cx="9429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85725</xdr:rowOff>
    </xdr:from>
    <xdr:to>
      <xdr:col>0</xdr:col>
      <xdr:colOff>590550</xdr:colOff>
      <xdr:row>21</xdr:row>
      <xdr:rowOff>142875</xdr:rowOff>
    </xdr:to>
    <xdr:sp>
      <xdr:nvSpPr>
        <xdr:cNvPr id="8" name="Arc 11"/>
        <xdr:cNvSpPr>
          <a:spLocks/>
        </xdr:cNvSpPr>
      </xdr:nvSpPr>
      <xdr:spPr>
        <a:xfrm>
          <a:off x="457200" y="3324225"/>
          <a:ext cx="133350" cy="2190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20</xdr:row>
      <xdr:rowOff>28575</xdr:rowOff>
    </xdr:from>
    <xdr:to>
      <xdr:col>0</xdr:col>
      <xdr:colOff>752475</xdr:colOff>
      <xdr:row>21</xdr:row>
      <xdr:rowOff>57150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61975" y="326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438150</xdr:colOff>
      <xdr:row>14</xdr:row>
      <xdr:rowOff>38100</xdr:rowOff>
    </xdr:from>
    <xdr:to>
      <xdr:col>1</xdr:col>
      <xdr:colOff>628650</xdr:colOff>
      <xdr:row>15</xdr:row>
      <xdr:rowOff>66675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200150" y="2305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466725</xdr:colOff>
      <xdr:row>18</xdr:row>
      <xdr:rowOff>142875</xdr:rowOff>
    </xdr:from>
    <xdr:to>
      <xdr:col>2</xdr:col>
      <xdr:colOff>657225</xdr:colOff>
      <xdr:row>20</xdr:row>
      <xdr:rowOff>9525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990725" y="3057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85725</xdr:colOff>
      <xdr:row>22</xdr:row>
      <xdr:rowOff>95250</xdr:rowOff>
    </xdr:from>
    <xdr:to>
      <xdr:col>0</xdr:col>
      <xdr:colOff>276225</xdr:colOff>
      <xdr:row>23</xdr:row>
      <xdr:rowOff>123825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85725" y="36576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714375</xdr:colOff>
      <xdr:row>16</xdr:row>
      <xdr:rowOff>0</xdr:rowOff>
    </xdr:from>
    <xdr:to>
      <xdr:col>6</xdr:col>
      <xdr:colOff>190500</xdr:colOff>
      <xdr:row>22</xdr:row>
      <xdr:rowOff>28575</xdr:rowOff>
    </xdr:to>
    <xdr:sp>
      <xdr:nvSpPr>
        <xdr:cNvPr id="13" name="AutoShape 17"/>
        <xdr:cNvSpPr>
          <a:spLocks/>
        </xdr:cNvSpPr>
      </xdr:nvSpPr>
      <xdr:spPr>
        <a:xfrm rot="2700000">
          <a:off x="3552825" y="2590800"/>
          <a:ext cx="1000125" cy="10001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13</xdr:row>
      <xdr:rowOff>104775</xdr:rowOff>
    </xdr:from>
    <xdr:to>
      <xdr:col>5</xdr:col>
      <xdr:colOff>647700</xdr:colOff>
      <xdr:row>14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4057650" y="2209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381000</xdr:colOff>
      <xdr:row>18</xdr:row>
      <xdr:rowOff>66675</xdr:rowOff>
    </xdr:from>
    <xdr:to>
      <xdr:col>4</xdr:col>
      <xdr:colOff>571500</xdr:colOff>
      <xdr:row>19</xdr:row>
      <xdr:rowOff>95250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3219450" y="298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5</xdr:col>
      <xdr:colOff>428625</xdr:colOff>
      <xdr:row>23</xdr:row>
      <xdr:rowOff>104775</xdr:rowOff>
    </xdr:from>
    <xdr:to>
      <xdr:col>5</xdr:col>
      <xdr:colOff>619125</xdr:colOff>
      <xdr:row>24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4029075" y="382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5</xdr:col>
      <xdr:colOff>247650</xdr:colOff>
      <xdr:row>15</xdr:row>
      <xdr:rowOff>152400</xdr:rowOff>
    </xdr:from>
    <xdr:to>
      <xdr:col>5</xdr:col>
      <xdr:colOff>457200</xdr:colOff>
      <xdr:row>16</xdr:row>
      <xdr:rowOff>76200</xdr:rowOff>
    </xdr:to>
    <xdr:sp>
      <xdr:nvSpPr>
        <xdr:cNvPr id="17" name="Polygon 25"/>
        <xdr:cNvSpPr>
          <a:spLocks/>
        </xdr:cNvSpPr>
      </xdr:nvSpPr>
      <xdr:spPr>
        <a:xfrm>
          <a:off x="3848100" y="2581275"/>
          <a:ext cx="209550" cy="85725"/>
        </a:xfrm>
        <a:custGeom>
          <a:pathLst>
            <a:path h="11" w="18">
              <a:moveTo>
                <a:pt x="0" y="0"/>
              </a:moveTo>
              <a:cubicBezTo>
                <a:pt x="3" y="8"/>
                <a:pt x="5" y="9"/>
                <a:pt x="13" y="11"/>
              </a:cubicBezTo>
              <a:cubicBezTo>
                <a:pt x="15" y="11"/>
                <a:pt x="18" y="10"/>
                <a:pt x="18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47625</xdr:rowOff>
    </xdr:from>
    <xdr:to>
      <xdr:col>5</xdr:col>
      <xdr:colOff>457200</xdr:colOff>
      <xdr:row>17</xdr:row>
      <xdr:rowOff>76200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3867150" y="2638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38100</xdr:rowOff>
    </xdr:from>
    <xdr:to>
      <xdr:col>6</xdr:col>
      <xdr:colOff>171450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81350" y="8477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9</xdr:row>
      <xdr:rowOff>95250</xdr:rowOff>
    </xdr:from>
    <xdr:to>
      <xdr:col>4</xdr:col>
      <xdr:colOff>161925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1552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666750</xdr:colOff>
      <xdr:row>4</xdr:row>
      <xdr:rowOff>47625</xdr:rowOff>
    </xdr:from>
    <xdr:to>
      <xdr:col>4</xdr:col>
      <xdr:colOff>133350</xdr:colOff>
      <xdr:row>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19425" y="6953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180975</xdr:colOff>
      <xdr:row>9</xdr:row>
      <xdr:rowOff>28575</xdr:rowOff>
    </xdr:from>
    <xdr:to>
      <xdr:col>6</xdr:col>
      <xdr:colOff>409575</xdr:colOff>
      <xdr:row>10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1485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323850</xdr:colOff>
      <xdr:row>8</xdr:row>
      <xdr:rowOff>47625</xdr:rowOff>
    </xdr:from>
    <xdr:to>
      <xdr:col>5</xdr:col>
      <xdr:colOff>400050</xdr:colOff>
      <xdr:row>9</xdr:row>
      <xdr:rowOff>123825</xdr:rowOff>
    </xdr:to>
    <xdr:sp>
      <xdr:nvSpPr>
        <xdr:cNvPr id="5" name="Arc 5"/>
        <xdr:cNvSpPr>
          <a:spLocks/>
        </xdr:cNvSpPr>
      </xdr:nvSpPr>
      <xdr:spPr>
        <a:xfrm flipH="1">
          <a:off x="4200525" y="134302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47625</xdr:rowOff>
    </xdr:from>
    <xdr:to>
      <xdr:col>5</xdr:col>
      <xdr:colOff>428625</xdr:colOff>
      <xdr:row>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343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15</xdr:row>
      <xdr:rowOff>38100</xdr:rowOff>
    </xdr:from>
    <xdr:to>
      <xdr:col>6</xdr:col>
      <xdr:colOff>171450</xdr:colOff>
      <xdr:row>19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3181350" y="246697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95250</xdr:rowOff>
    </xdr:from>
    <xdr:to>
      <xdr:col>4</xdr:col>
      <xdr:colOff>161925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48000" y="3171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647700</xdr:colOff>
      <xdr:row>14</xdr:row>
      <xdr:rowOff>47625</xdr:rowOff>
    </xdr:from>
    <xdr:to>
      <xdr:col>4</xdr:col>
      <xdr:colOff>114300</xdr:colOff>
      <xdr:row>15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000375" y="2314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180975</xdr:colOff>
      <xdr:row>19</xdr:row>
      <xdr:rowOff>28575</xdr:rowOff>
    </xdr:from>
    <xdr:to>
      <xdr:col>6</xdr:col>
      <xdr:colOff>409575</xdr:colOff>
      <xdr:row>20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819650" y="3105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323850</xdr:colOff>
      <xdr:row>18</xdr:row>
      <xdr:rowOff>47625</xdr:rowOff>
    </xdr:from>
    <xdr:to>
      <xdr:col>5</xdr:col>
      <xdr:colOff>400050</xdr:colOff>
      <xdr:row>19</xdr:row>
      <xdr:rowOff>123825</xdr:rowOff>
    </xdr:to>
    <xdr:sp>
      <xdr:nvSpPr>
        <xdr:cNvPr id="11" name="Arc 11"/>
        <xdr:cNvSpPr>
          <a:spLocks/>
        </xdr:cNvSpPr>
      </xdr:nvSpPr>
      <xdr:spPr>
        <a:xfrm flipH="1">
          <a:off x="4200525" y="296227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47625</xdr:rowOff>
    </xdr:from>
    <xdr:to>
      <xdr:col>5</xdr:col>
      <xdr:colOff>428625</xdr:colOff>
      <xdr:row>19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76700" y="29622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38100</xdr:rowOff>
    </xdr:from>
    <xdr:to>
      <xdr:col>6</xdr:col>
      <xdr:colOff>171450</xdr:colOff>
      <xdr:row>29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181350" y="40862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29</xdr:row>
      <xdr:rowOff>95250</xdr:rowOff>
    </xdr:from>
    <xdr:to>
      <xdr:col>4</xdr:col>
      <xdr:colOff>161925</xdr:colOff>
      <xdr:row>31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048000" y="47910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647700</xdr:colOff>
      <xdr:row>24</xdr:row>
      <xdr:rowOff>47625</xdr:rowOff>
    </xdr:from>
    <xdr:to>
      <xdr:col>4</xdr:col>
      <xdr:colOff>114300</xdr:colOff>
      <xdr:row>25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00375" y="3933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180975</xdr:colOff>
      <xdr:row>29</xdr:row>
      <xdr:rowOff>28575</xdr:rowOff>
    </xdr:from>
    <xdr:to>
      <xdr:col>6</xdr:col>
      <xdr:colOff>409575</xdr:colOff>
      <xdr:row>30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819650" y="47244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133350</xdr:colOff>
      <xdr:row>26</xdr:row>
      <xdr:rowOff>38100</xdr:rowOff>
    </xdr:from>
    <xdr:to>
      <xdr:col>4</xdr:col>
      <xdr:colOff>361950</xdr:colOff>
      <xdr:row>27</xdr:row>
      <xdr:rowOff>104775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248025" y="4248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123825</xdr:rowOff>
    </xdr:from>
    <xdr:to>
      <xdr:col>4</xdr:col>
      <xdr:colOff>238125</xdr:colOff>
      <xdr:row>26</xdr:row>
      <xdr:rowOff>38100</xdr:rowOff>
    </xdr:to>
    <xdr:sp>
      <xdr:nvSpPr>
        <xdr:cNvPr id="18" name="Arc 19"/>
        <xdr:cNvSpPr>
          <a:spLocks/>
        </xdr:cNvSpPr>
      </xdr:nvSpPr>
      <xdr:spPr>
        <a:xfrm flipV="1">
          <a:off x="3181350" y="4171950"/>
          <a:ext cx="17145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38100</xdr:rowOff>
    </xdr:from>
    <xdr:to>
      <xdr:col>6</xdr:col>
      <xdr:colOff>171450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81350" y="8477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9</xdr:row>
      <xdr:rowOff>95250</xdr:rowOff>
    </xdr:from>
    <xdr:to>
      <xdr:col>4</xdr:col>
      <xdr:colOff>161925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1552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666750</xdr:colOff>
      <xdr:row>4</xdr:row>
      <xdr:rowOff>47625</xdr:rowOff>
    </xdr:from>
    <xdr:to>
      <xdr:col>4</xdr:col>
      <xdr:colOff>133350</xdr:colOff>
      <xdr:row>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19425" y="6953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6</xdr:col>
      <xdr:colOff>180975</xdr:colOff>
      <xdr:row>9</xdr:row>
      <xdr:rowOff>28575</xdr:rowOff>
    </xdr:from>
    <xdr:to>
      <xdr:col>6</xdr:col>
      <xdr:colOff>409575</xdr:colOff>
      <xdr:row>10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1485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323850</xdr:colOff>
      <xdr:row>8</xdr:row>
      <xdr:rowOff>47625</xdr:rowOff>
    </xdr:from>
    <xdr:to>
      <xdr:col>5</xdr:col>
      <xdr:colOff>400050</xdr:colOff>
      <xdr:row>9</xdr:row>
      <xdr:rowOff>123825</xdr:rowOff>
    </xdr:to>
    <xdr:sp>
      <xdr:nvSpPr>
        <xdr:cNvPr id="5" name="Arc 5"/>
        <xdr:cNvSpPr>
          <a:spLocks/>
        </xdr:cNvSpPr>
      </xdr:nvSpPr>
      <xdr:spPr>
        <a:xfrm flipH="1">
          <a:off x="4200525" y="134302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47625</xdr:rowOff>
    </xdr:from>
    <xdr:to>
      <xdr:col>5</xdr:col>
      <xdr:colOff>428625</xdr:colOff>
      <xdr:row>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343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428625</xdr:colOff>
      <xdr:row>13</xdr:row>
      <xdr:rowOff>142875</xdr:rowOff>
    </xdr:from>
    <xdr:to>
      <xdr:col>5</xdr:col>
      <xdr:colOff>400050</xdr:colOff>
      <xdr:row>23</xdr:row>
      <xdr:rowOff>152400</xdr:rowOff>
    </xdr:to>
    <xdr:sp>
      <xdr:nvSpPr>
        <xdr:cNvPr id="7" name="AutoShape 7"/>
        <xdr:cNvSpPr>
          <a:spLocks/>
        </xdr:cNvSpPr>
      </xdr:nvSpPr>
      <xdr:spPr>
        <a:xfrm rot="7547294">
          <a:off x="3543300" y="2247900"/>
          <a:ext cx="733425" cy="16287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95250</xdr:rowOff>
    </xdr:from>
    <xdr:to>
      <xdr:col>5</xdr:col>
      <xdr:colOff>352425</xdr:colOff>
      <xdr:row>14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000500" y="20383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638175</xdr:colOff>
      <xdr:row>21</xdr:row>
      <xdr:rowOff>19050</xdr:rowOff>
    </xdr:from>
    <xdr:to>
      <xdr:col>4</xdr:col>
      <xdr:colOff>104775</xdr:colOff>
      <xdr:row>22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90850" y="34194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57150</xdr:colOff>
      <xdr:row>15</xdr:row>
      <xdr:rowOff>142875</xdr:rowOff>
    </xdr:from>
    <xdr:to>
      <xdr:col>6</xdr:col>
      <xdr:colOff>285750</xdr:colOff>
      <xdr:row>17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95825" y="25717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571500</xdr:colOff>
      <xdr:row>15</xdr:row>
      <xdr:rowOff>85725</xdr:rowOff>
    </xdr:from>
    <xdr:to>
      <xdr:col>5</xdr:col>
      <xdr:colOff>647700</xdr:colOff>
      <xdr:row>17</xdr:row>
      <xdr:rowOff>0</xdr:rowOff>
    </xdr:to>
    <xdr:sp>
      <xdr:nvSpPr>
        <xdr:cNvPr id="11" name="Arc 11"/>
        <xdr:cNvSpPr>
          <a:spLocks/>
        </xdr:cNvSpPr>
      </xdr:nvSpPr>
      <xdr:spPr>
        <a:xfrm flipH="1">
          <a:off x="4448175" y="2514600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95250</xdr:rowOff>
    </xdr:from>
    <xdr:to>
      <xdr:col>5</xdr:col>
      <xdr:colOff>657225</xdr:colOff>
      <xdr:row>17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05300" y="25241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38100</xdr:rowOff>
    </xdr:from>
    <xdr:to>
      <xdr:col>6</xdr:col>
      <xdr:colOff>171450</xdr:colOff>
      <xdr:row>29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181350" y="40862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27</xdr:row>
      <xdr:rowOff>47625</xdr:rowOff>
    </xdr:from>
    <xdr:to>
      <xdr:col>4</xdr:col>
      <xdr:colOff>104775</xdr:colOff>
      <xdr:row>28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90850" y="44196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228600</xdr:colOff>
      <xdr:row>27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76675" y="42386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638175</xdr:colOff>
      <xdr:row>29</xdr:row>
      <xdr:rowOff>152400</xdr:rowOff>
    </xdr:from>
    <xdr:to>
      <xdr:col>5</xdr:col>
      <xdr:colOff>104775</xdr:colOff>
      <xdr:row>31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52850" y="48482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133350</xdr:colOff>
      <xdr:row>26</xdr:row>
      <xdr:rowOff>38100</xdr:rowOff>
    </xdr:from>
    <xdr:to>
      <xdr:col>4</xdr:col>
      <xdr:colOff>361950</xdr:colOff>
      <xdr:row>27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248025" y="4248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123825</xdr:rowOff>
    </xdr:from>
    <xdr:to>
      <xdr:col>4</xdr:col>
      <xdr:colOff>238125</xdr:colOff>
      <xdr:row>26</xdr:row>
      <xdr:rowOff>38100</xdr:rowOff>
    </xdr:to>
    <xdr:sp>
      <xdr:nvSpPr>
        <xdr:cNvPr id="18" name="Arc 18"/>
        <xdr:cNvSpPr>
          <a:spLocks/>
        </xdr:cNvSpPr>
      </xdr:nvSpPr>
      <xdr:spPr>
        <a:xfrm flipV="1">
          <a:off x="3181350" y="4171950"/>
          <a:ext cx="17145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14</xdr:row>
      <xdr:rowOff>9525</xdr:rowOff>
    </xdr:from>
    <xdr:to>
      <xdr:col>9</xdr:col>
      <xdr:colOff>590550</xdr:colOff>
      <xdr:row>26</xdr:row>
      <xdr:rowOff>66675</xdr:rowOff>
    </xdr:to>
    <xdr:sp>
      <xdr:nvSpPr>
        <xdr:cNvPr id="1" name="AutoShape 7"/>
        <xdr:cNvSpPr>
          <a:spLocks/>
        </xdr:cNvSpPr>
      </xdr:nvSpPr>
      <xdr:spPr>
        <a:xfrm rot="7562964">
          <a:off x="3448050" y="2305050"/>
          <a:ext cx="1190625" cy="20288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24</xdr:row>
      <xdr:rowOff>47625</xdr:rowOff>
    </xdr:from>
    <xdr:to>
      <xdr:col>4</xdr:col>
      <xdr:colOff>485775</xdr:colOff>
      <xdr:row>25</xdr:row>
      <xdr:rowOff>133350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885950" y="399097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9525</xdr:colOff>
      <xdr:row>3</xdr:row>
      <xdr:rowOff>66675</xdr:rowOff>
    </xdr:from>
    <xdr:to>
      <xdr:col>9</xdr:col>
      <xdr:colOff>514350</xdr:colOff>
      <xdr:row>12</xdr:row>
      <xdr:rowOff>19050</xdr:rowOff>
    </xdr:to>
    <xdr:grpSp>
      <xdr:nvGrpSpPr>
        <xdr:cNvPr id="3" name="Group 16"/>
        <xdr:cNvGrpSpPr>
          <a:grpSpLocks/>
        </xdr:cNvGrpSpPr>
      </xdr:nvGrpSpPr>
      <xdr:grpSpPr>
        <a:xfrm>
          <a:off x="2533650" y="552450"/>
          <a:ext cx="2028825" cy="1438275"/>
          <a:chOff x="336" y="60"/>
          <a:chExt cx="213" cy="151"/>
        </a:xfrm>
        <a:solidFill>
          <a:srgbClr val="FFFFFF"/>
        </a:solidFill>
      </xdr:grpSpPr>
      <xdr:grpSp>
        <xdr:nvGrpSpPr>
          <xdr:cNvPr id="4" name="Group 13"/>
          <xdr:cNvGrpSpPr>
            <a:grpSpLocks/>
          </xdr:cNvGrpSpPr>
        </xdr:nvGrpSpPr>
        <xdr:grpSpPr>
          <a:xfrm>
            <a:off x="336" y="60"/>
            <a:ext cx="213" cy="151"/>
            <a:chOff x="236" y="62"/>
            <a:chExt cx="223" cy="151"/>
          </a:xfrm>
          <a:solidFill>
            <a:srgbClr val="FFFFFF"/>
          </a:solidFill>
        </xdr:grpSpPr>
        <xdr:sp>
          <xdr:nvSpPr>
            <xdr:cNvPr id="5" name="AutoShape 1"/>
            <xdr:cNvSpPr>
              <a:spLocks/>
            </xdr:cNvSpPr>
          </xdr:nvSpPr>
          <xdr:spPr>
            <a:xfrm>
              <a:off x="253" y="81"/>
              <a:ext cx="181" cy="111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Box 2"/>
            <xdr:cNvSpPr txBox="1">
              <a:spLocks noChangeArrowheads="1"/>
            </xdr:cNvSpPr>
          </xdr:nvSpPr>
          <xdr:spPr>
            <a:xfrm>
              <a:off x="236" y="62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7" name="TextBox 3"/>
            <xdr:cNvSpPr txBox="1">
              <a:spLocks noChangeArrowheads="1"/>
            </xdr:cNvSpPr>
          </xdr:nvSpPr>
          <xdr:spPr>
            <a:xfrm>
              <a:off x="436" y="181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8" name="TextBox 4"/>
            <xdr:cNvSpPr txBox="1">
              <a:spLocks noChangeArrowheads="1"/>
            </xdr:cNvSpPr>
          </xdr:nvSpPr>
          <xdr:spPr>
            <a:xfrm>
              <a:off x="238" y="187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9" name="Arc 5"/>
            <xdr:cNvSpPr>
              <a:spLocks/>
            </xdr:cNvSpPr>
          </xdr:nvSpPr>
          <xdr:spPr>
            <a:xfrm flipH="1">
              <a:off x="370" y="161"/>
              <a:ext cx="13" cy="3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TextBox 6"/>
            <xdr:cNvSpPr txBox="1">
              <a:spLocks noChangeArrowheads="1"/>
            </xdr:cNvSpPr>
          </xdr:nvSpPr>
          <xdr:spPr>
            <a:xfrm>
              <a:off x="356" y="160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</xdr:grpSp>
      <xdr:sp>
        <xdr:nvSpPr>
          <xdr:cNvPr id="11" name="Arc 14"/>
          <xdr:cNvSpPr>
            <a:spLocks/>
          </xdr:cNvSpPr>
        </xdr:nvSpPr>
        <xdr:spPr>
          <a:xfrm flipV="1">
            <a:off x="353" y="96"/>
            <a:ext cx="27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5"/>
          <xdr:cNvSpPr txBox="1">
            <a:spLocks noChangeArrowheads="1"/>
          </xdr:cNvSpPr>
        </xdr:nvSpPr>
        <xdr:spPr>
          <a:xfrm>
            <a:off x="365" y="109"/>
            <a:ext cx="2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</xdr:grpSp>
    <xdr:clientData/>
  </xdr:twoCellAnchor>
  <xdr:twoCellAnchor>
    <xdr:from>
      <xdr:col>10</xdr:col>
      <xdr:colOff>323850</xdr:colOff>
      <xdr:row>16</xdr:row>
      <xdr:rowOff>133350</xdr:rowOff>
    </xdr:from>
    <xdr:to>
      <xdr:col>10</xdr:col>
      <xdr:colOff>542925</xdr:colOff>
      <xdr:row>18</xdr:row>
      <xdr:rowOff>47625</xdr:rowOff>
    </xdr:to>
    <xdr:sp>
      <xdr:nvSpPr>
        <xdr:cNvPr id="13" name="TextBox 8"/>
        <xdr:cNvSpPr txBox="1">
          <a:spLocks noChangeArrowheads="1"/>
        </xdr:cNvSpPr>
      </xdr:nvSpPr>
      <xdr:spPr>
        <a:xfrm>
          <a:off x="5133975" y="275272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190500</xdr:colOff>
      <xdr:row>13</xdr:row>
      <xdr:rowOff>95250</xdr:rowOff>
    </xdr:to>
    <xdr:sp>
      <xdr:nvSpPr>
        <xdr:cNvPr id="14" name="TextBox 9"/>
        <xdr:cNvSpPr txBox="1">
          <a:spLocks noChangeArrowheads="1"/>
        </xdr:cNvSpPr>
      </xdr:nvSpPr>
      <xdr:spPr>
        <a:xfrm>
          <a:off x="4048125" y="19812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66675</xdr:colOff>
      <xdr:row>20</xdr:row>
      <xdr:rowOff>19050</xdr:rowOff>
    </xdr:from>
    <xdr:to>
      <xdr:col>8</xdr:col>
      <xdr:colOff>285750</xdr:colOff>
      <xdr:row>21</xdr:row>
      <xdr:rowOff>104775</xdr:rowOff>
    </xdr:to>
    <xdr:sp>
      <xdr:nvSpPr>
        <xdr:cNvPr id="15" name="TextBox 11"/>
        <xdr:cNvSpPr txBox="1">
          <a:spLocks noChangeArrowheads="1"/>
        </xdr:cNvSpPr>
      </xdr:nvSpPr>
      <xdr:spPr>
        <a:xfrm>
          <a:off x="3352800" y="33051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57150</xdr:colOff>
      <xdr:row>22</xdr:row>
      <xdr:rowOff>9525</xdr:rowOff>
    </xdr:to>
    <xdr:sp>
      <xdr:nvSpPr>
        <xdr:cNvPr id="16" name="Arc 12"/>
        <xdr:cNvSpPr>
          <a:spLocks/>
        </xdr:cNvSpPr>
      </xdr:nvSpPr>
      <xdr:spPr>
        <a:xfrm>
          <a:off x="3305175" y="3343275"/>
          <a:ext cx="38100" cy="2762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152400</xdr:rowOff>
    </xdr:from>
    <xdr:to>
      <xdr:col>9</xdr:col>
      <xdr:colOff>704850</xdr:colOff>
      <xdr:row>18</xdr:row>
      <xdr:rowOff>76200</xdr:rowOff>
    </xdr:to>
    <xdr:sp>
      <xdr:nvSpPr>
        <xdr:cNvPr id="17" name="Arc 17"/>
        <xdr:cNvSpPr>
          <a:spLocks/>
        </xdr:cNvSpPr>
      </xdr:nvSpPr>
      <xdr:spPr>
        <a:xfrm flipH="1">
          <a:off x="4676775" y="2609850"/>
          <a:ext cx="76200" cy="4191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142875</xdr:rowOff>
    </xdr:from>
    <xdr:to>
      <xdr:col>7</xdr:col>
      <xdr:colOff>552450</xdr:colOff>
      <xdr:row>24</xdr:row>
      <xdr:rowOff>76200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28925" y="37528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457200</xdr:colOff>
      <xdr:row>16</xdr:row>
      <xdr:rowOff>57150</xdr:rowOff>
    </xdr:from>
    <xdr:to>
      <xdr:col>9</xdr:col>
      <xdr:colOff>685800</xdr:colOff>
      <xdr:row>17</xdr:row>
      <xdr:rowOff>133350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505325" y="2676525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</xdr:row>
      <xdr:rowOff>123825</xdr:rowOff>
    </xdr:from>
    <xdr:to>
      <xdr:col>7</xdr:col>
      <xdr:colOff>28575</xdr:colOff>
      <xdr:row>11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409825" y="771525"/>
          <a:ext cx="1724025" cy="10572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</xdr:row>
      <xdr:rowOff>95250</xdr:rowOff>
    </xdr:from>
    <xdr:to>
      <xdr:col>4</xdr:col>
      <xdr:colOff>723900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24100" y="58102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47625</xdr:colOff>
      <xdr:row>10</xdr:row>
      <xdr:rowOff>85725</xdr:rowOff>
    </xdr:from>
    <xdr:to>
      <xdr:col>7</xdr:col>
      <xdr:colOff>266700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172402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4</xdr:col>
      <xdr:colOff>447675</xdr:colOff>
      <xdr:row>10</xdr:row>
      <xdr:rowOff>142875</xdr:rowOff>
    </xdr:from>
    <xdr:to>
      <xdr:col>4</xdr:col>
      <xdr:colOff>666750</xdr:colOff>
      <xdr:row>12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17811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6</xdr:col>
      <xdr:colOff>180975</xdr:colOff>
      <xdr:row>9</xdr:row>
      <xdr:rowOff>57150</xdr:rowOff>
    </xdr:from>
    <xdr:to>
      <xdr:col>6</xdr:col>
      <xdr:colOff>304800</xdr:colOff>
      <xdr:row>11</xdr:row>
      <xdr:rowOff>19050</xdr:rowOff>
    </xdr:to>
    <xdr:sp>
      <xdr:nvSpPr>
        <xdr:cNvPr id="5" name="Arc 5"/>
        <xdr:cNvSpPr>
          <a:spLocks/>
        </xdr:cNvSpPr>
      </xdr:nvSpPr>
      <xdr:spPr>
        <a:xfrm flipH="1">
          <a:off x="3524250" y="1533525"/>
          <a:ext cx="1238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47625</xdr:rowOff>
    </xdr:from>
    <xdr:to>
      <xdr:col>6</xdr:col>
      <xdr:colOff>323850</xdr:colOff>
      <xdr:row>10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48050" y="15240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  <xdr:twoCellAnchor>
    <xdr:from>
      <xdr:col>4</xdr:col>
      <xdr:colOff>752475</xdr:colOff>
      <xdr:row>17</xdr:row>
      <xdr:rowOff>123825</xdr:rowOff>
    </xdr:from>
    <xdr:to>
      <xdr:col>7</xdr:col>
      <xdr:colOff>495300</xdr:colOff>
      <xdr:row>25</xdr:row>
      <xdr:rowOff>114300</xdr:rowOff>
    </xdr:to>
    <xdr:sp>
      <xdr:nvSpPr>
        <xdr:cNvPr id="7" name="AutoShape 7"/>
        <xdr:cNvSpPr>
          <a:spLocks/>
        </xdr:cNvSpPr>
      </xdr:nvSpPr>
      <xdr:spPr>
        <a:xfrm rot="12355144">
          <a:off x="2571750" y="2914650"/>
          <a:ext cx="2028825" cy="13049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142875</xdr:rowOff>
    </xdr:from>
    <xdr:to>
      <xdr:col>7</xdr:col>
      <xdr:colOff>619125</xdr:colOff>
      <xdr:row>25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505325" y="39243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47625</xdr:colOff>
      <xdr:row>21</xdr:row>
      <xdr:rowOff>19050</xdr:rowOff>
    </xdr:from>
    <xdr:to>
      <xdr:col>6</xdr:col>
      <xdr:colOff>266700</xdr:colOff>
      <xdr:row>22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90900" y="34671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600075</xdr:colOff>
      <xdr:row>17</xdr:row>
      <xdr:rowOff>66675</xdr:rowOff>
    </xdr:from>
    <xdr:to>
      <xdr:col>7</xdr:col>
      <xdr:colOff>57150</xdr:colOff>
      <xdr:row>18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943350" y="28575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123825</xdr:colOff>
      <xdr:row>18</xdr:row>
      <xdr:rowOff>0</xdr:rowOff>
    </xdr:from>
    <xdr:to>
      <xdr:col>6</xdr:col>
      <xdr:colOff>342900</xdr:colOff>
      <xdr:row>19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67100" y="2952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â</a:t>
          </a:r>
        </a:p>
      </xdr:txBody>
    </xdr:sp>
    <xdr:clientData/>
  </xdr:twoCellAnchor>
  <xdr:twoCellAnchor>
    <xdr:from>
      <xdr:col>5</xdr:col>
      <xdr:colOff>666750</xdr:colOff>
      <xdr:row>17</xdr:row>
      <xdr:rowOff>28575</xdr:rowOff>
    </xdr:from>
    <xdr:to>
      <xdr:col>6</xdr:col>
      <xdr:colOff>190500</xdr:colOff>
      <xdr:row>18</xdr:row>
      <xdr:rowOff>66675</xdr:rowOff>
    </xdr:to>
    <xdr:sp>
      <xdr:nvSpPr>
        <xdr:cNvPr id="12" name="Arc 13"/>
        <xdr:cNvSpPr>
          <a:spLocks/>
        </xdr:cNvSpPr>
      </xdr:nvSpPr>
      <xdr:spPr>
        <a:xfrm flipV="1">
          <a:off x="3248025" y="2819400"/>
          <a:ext cx="28575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71900" y="333375"/>
          <a:ext cx="1885950" cy="160020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21"/>
  <sheetViews>
    <sheetView showGridLines="0" workbookViewId="0" topLeftCell="A7">
      <selection activeCell="H8" sqref="H8"/>
    </sheetView>
  </sheetViews>
  <sheetFormatPr defaultColWidth="11.421875" defaultRowHeight="12.75"/>
  <cols>
    <col min="1" max="16384" width="11.421875" style="1" customWidth="1"/>
  </cols>
  <sheetData>
    <row r="10" spans="1:9" ht="20.25" customHeight="1">
      <c r="A10" s="45" t="s">
        <v>117</v>
      </c>
      <c r="B10" s="45"/>
      <c r="C10" s="45"/>
      <c r="D10" s="45"/>
      <c r="E10" s="45"/>
      <c r="F10" s="45"/>
      <c r="G10" s="45"/>
      <c r="H10" s="45"/>
      <c r="I10" s="45"/>
    </row>
    <row r="11" spans="1:9" ht="20.25" customHeight="1">
      <c r="A11" s="46" t="s">
        <v>118</v>
      </c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47" t="s">
        <v>119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7" t="s">
        <v>120</v>
      </c>
      <c r="B14" s="47"/>
      <c r="C14" s="47"/>
      <c r="D14" s="47"/>
      <c r="E14" s="47"/>
      <c r="F14" s="47"/>
      <c r="G14" s="47"/>
      <c r="H14" s="47"/>
      <c r="I14" s="47"/>
    </row>
    <row r="18" spans="6:9" ht="12.75">
      <c r="F18" s="18" t="s">
        <v>121</v>
      </c>
      <c r="G18" s="18"/>
      <c r="H18" s="18"/>
      <c r="I18" s="18"/>
    </row>
    <row r="19" spans="6:9" ht="12.75">
      <c r="F19" s="18" t="s">
        <v>122</v>
      </c>
      <c r="G19" s="18"/>
      <c r="H19" s="18"/>
      <c r="I19" s="18"/>
    </row>
    <row r="20" spans="6:9" ht="12.75">
      <c r="F20" s="18"/>
      <c r="G20" s="18"/>
      <c r="H20" s="18"/>
      <c r="I20" s="18"/>
    </row>
    <row r="21" spans="6:9" ht="12.75">
      <c r="F21" s="18" t="s">
        <v>123</v>
      </c>
      <c r="G21" s="18"/>
      <c r="H21" s="18"/>
      <c r="I21" s="18"/>
    </row>
  </sheetData>
  <sheetProtection password="DCC5" sheet="1" objects="1" scenarios="1"/>
  <mergeCells count="4">
    <mergeCell ref="A10:I10"/>
    <mergeCell ref="A11:I11"/>
    <mergeCell ref="A13:I13"/>
    <mergeCell ref="A14:I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="5" customFormat="1" ht="12.75">
      <c r="A1" s="5" t="s">
        <v>1</v>
      </c>
    </row>
    <row r="2" s="5" customFormat="1" ht="12.75">
      <c r="A2" s="5" t="s">
        <v>6</v>
      </c>
    </row>
    <row r="4" ht="12.75">
      <c r="A4" s="6" t="s">
        <v>2</v>
      </c>
    </row>
    <row r="5" ht="12.75">
      <c r="A5" s="6"/>
    </row>
    <row r="6" spans="1:3" ht="12.75">
      <c r="A6" s="24" t="s">
        <v>5</v>
      </c>
      <c r="B6" s="3"/>
      <c r="C6" s="2">
        <f>IF(B6="","",IF(OR(B6="EG",B6="GE"),TRUE,FALSE))</f>
      </c>
    </row>
    <row r="8" spans="1:3" ht="12.75">
      <c r="A8" s="8" t="s">
        <v>3</v>
      </c>
      <c r="B8" s="3"/>
      <c r="C8" s="2">
        <f>IF(B8="","",IF(OR(B8="EF",B8="FE"),TRUE,FALSE))</f>
      </c>
    </row>
    <row r="10" spans="1:3" ht="12.75">
      <c r="A10" s="8" t="s">
        <v>4</v>
      </c>
      <c r="B10" s="3"/>
      <c r="C10" s="2">
        <f>IF(B10="","",IF(OR(B10="FG",B10="GF"),TRUE,FALSE))</f>
      </c>
    </row>
    <row r="14" ht="12.75">
      <c r="A14" s="6" t="s">
        <v>9</v>
      </c>
    </row>
    <row r="15" ht="12.75">
      <c r="A15" s="6"/>
    </row>
    <row r="16" spans="1:3" ht="12.75">
      <c r="A16" s="24" t="s">
        <v>5</v>
      </c>
      <c r="B16" s="3"/>
      <c r="C16" s="2">
        <f>IF(B16="","",IF(OR(B16="AB",B16="BA"),TRUE,FALSE))</f>
      </c>
    </row>
    <row r="18" spans="1:3" ht="12.75">
      <c r="A18" s="8" t="s">
        <v>3</v>
      </c>
      <c r="B18" s="3"/>
      <c r="C18" s="2">
        <f>IF(B18="","",IF(OR(B18="AC",B18="CA"),TRUE,FALSE))</f>
      </c>
    </row>
    <row r="20" spans="1:3" ht="12.75">
      <c r="A20" s="8" t="s">
        <v>4</v>
      </c>
      <c r="B20" s="3"/>
      <c r="C20" s="2">
        <f>IF(B20="","",IF(OR(B20="BC",B20="CB"),TRUE,FALSE))</f>
      </c>
    </row>
    <row r="24" ht="12.75">
      <c r="A24" s="6" t="s">
        <v>10</v>
      </c>
    </row>
    <row r="25" ht="12.75">
      <c r="A25" s="6"/>
    </row>
    <row r="26" spans="1:3" ht="12.75">
      <c r="A26" s="24" t="s">
        <v>5</v>
      </c>
      <c r="B26" s="3"/>
      <c r="C26" s="2">
        <f>IF(B26="","",IF(B26="d",TRUE,FALSE))</f>
      </c>
    </row>
    <row r="28" spans="1:3" ht="12.75">
      <c r="A28" s="8" t="s">
        <v>3</v>
      </c>
      <c r="B28" s="3"/>
      <c r="C28" s="2">
        <f>IF(B28="","",IF(B28="b",TRUE,FALSE))</f>
      </c>
    </row>
    <row r="30" spans="1:3" ht="12.75">
      <c r="A30" s="8" t="s">
        <v>4</v>
      </c>
      <c r="B30" s="3"/>
      <c r="C30" s="2">
        <f>IF(B30="","",IF(B30="h",TRUE,FALSE))</f>
      </c>
    </row>
    <row r="33" spans="1:6" s="43" customFormat="1" ht="12.75">
      <c r="A33" s="40" t="s">
        <v>161</v>
      </c>
      <c r="B33" s="42"/>
      <c r="C33" s="53" t="s">
        <v>160</v>
      </c>
      <c r="D33" s="52"/>
      <c r="F33" s="40" t="s">
        <v>162</v>
      </c>
    </row>
  </sheetData>
  <sheetProtection password="DCC5" sheet="1" objects="1" scenarios="1"/>
  <mergeCells count="1">
    <mergeCell ref="C33:D33"/>
  </mergeCells>
  <hyperlinks>
    <hyperlink ref="C33:D33" location="Sommaire!A1" display="Sommaire!A1"/>
    <hyperlink ref="A33" location="'e12'!A1" display="'e12'!A1"/>
    <hyperlink ref="F33" location="'e14'!A1" display="'e14'!A1"/>
  </hyperlink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G5" sqref="G5:G6"/>
    </sheetView>
  </sheetViews>
  <sheetFormatPr defaultColWidth="11.421875" defaultRowHeight="12.75"/>
  <cols>
    <col min="1" max="1" width="6.57421875" style="1" customWidth="1"/>
    <col min="2" max="2" width="3.57421875" style="1" bestFit="1" customWidth="1"/>
    <col min="3" max="3" width="5.7109375" style="1" bestFit="1" customWidth="1"/>
    <col min="4" max="4" width="5.421875" style="1" customWidth="1"/>
    <col min="5" max="5" width="7.28125" style="1" bestFit="1" customWidth="1"/>
    <col min="6" max="6" width="3.57421875" style="1" bestFit="1" customWidth="1"/>
    <col min="7" max="7" width="5.7109375" style="1" bestFit="1" customWidth="1"/>
    <col min="8" max="16384" width="11.421875" style="1" customWidth="1"/>
  </cols>
  <sheetData>
    <row r="1" s="5" customFormat="1" ht="12.75">
      <c r="A1" s="5" t="s">
        <v>49</v>
      </c>
    </row>
    <row r="3" ht="12.75">
      <c r="A3" s="6" t="s">
        <v>2</v>
      </c>
    </row>
    <row r="4" ht="12.75"/>
    <row r="5" spans="1:7" ht="13.5" thickBot="1">
      <c r="A5" s="54" t="s">
        <v>50</v>
      </c>
      <c r="B5" s="25"/>
      <c r="C5" s="55">
        <f>IF(OR(B5="",B6=""),"",IF(AND(OR(B5="AB",B5="BA"),OR(B6="BC",B6="CB")),TRUE,FALSE))</f>
      </c>
      <c r="E5" s="54" t="s">
        <v>97</v>
      </c>
      <c r="F5" s="25"/>
      <c r="G5" s="55">
        <f>IF(OR(F5="",F6=""),"",IF(AND(OR(F5="AC",F5="CA"),OR(F6="BC",F6="CB")),TRUE,FALSE))</f>
      </c>
    </row>
    <row r="6" spans="1:7" ht="12.75">
      <c r="A6" s="54"/>
      <c r="B6" s="3"/>
      <c r="C6" s="55"/>
      <c r="E6" s="54"/>
      <c r="F6" s="3"/>
      <c r="G6" s="55"/>
    </row>
    <row r="7" ht="12.75"/>
    <row r="8" spans="1:7" ht="13.5" thickBot="1">
      <c r="A8" s="54" t="s">
        <v>51</v>
      </c>
      <c r="B8" s="25"/>
      <c r="C8" s="55">
        <f>IF(OR(B8="",B9=""),"",IF(AND(OR(B8="AC",B8="CA"),OR(B9="BC",B9="CB")),TRUE,FALSE))</f>
      </c>
      <c r="E8" s="54" t="s">
        <v>98</v>
      </c>
      <c r="F8" s="25"/>
      <c r="G8" s="55">
        <f>IF(OR(F8="",F9=""),"",IF(AND(OR(F8="AB",F8="BA"),OR(F9="BC",F9="CB")),TRUE,FALSE))</f>
      </c>
    </row>
    <row r="9" spans="1:7" ht="12.75">
      <c r="A9" s="54"/>
      <c r="B9" s="3"/>
      <c r="C9" s="55"/>
      <c r="E9" s="54"/>
      <c r="F9" s="3"/>
      <c r="G9" s="55"/>
    </row>
    <row r="10" ht="12.75"/>
    <row r="11" spans="1:7" ht="13.5" thickBot="1">
      <c r="A11" s="54" t="s">
        <v>52</v>
      </c>
      <c r="B11" s="25"/>
      <c r="C11" s="55">
        <f>IF(OR(B11="",B12=""),"",IF(AND(OR(B11="AB",B11="BA"),OR(B12="AC",B12="CA")),TRUE,FALSE))</f>
      </c>
      <c r="E11" s="54" t="s">
        <v>99</v>
      </c>
      <c r="F11" s="25"/>
      <c r="G11" s="55">
        <f>IF(OR(F11="",F12=""),"",IF(AND(OR(F11="AC",F11="CA"),OR(F12="AB",F12="BA")),TRUE,FALSE))</f>
      </c>
    </row>
    <row r="12" spans="1:7" ht="12.75">
      <c r="A12" s="54"/>
      <c r="B12" s="3"/>
      <c r="C12" s="55"/>
      <c r="E12" s="54"/>
      <c r="F12" s="3"/>
      <c r="G12" s="55"/>
    </row>
    <row r="13" ht="12.75"/>
    <row r="15" ht="12.75">
      <c r="A15" s="6" t="s">
        <v>9</v>
      </c>
    </row>
    <row r="17" spans="1:7" ht="13.5" thickBot="1">
      <c r="A17" s="54" t="s">
        <v>50</v>
      </c>
      <c r="B17" s="25"/>
      <c r="C17" s="55">
        <f>IF(OR(B17="",B18=""),"",IF(AND(OR(B17="AC",B17="CA"),OR(B18="BA",B18="AB")),TRUE,FALSE))</f>
      </c>
      <c r="E17" s="54" t="s">
        <v>97</v>
      </c>
      <c r="F17" s="25"/>
      <c r="G17" s="55">
        <f>IF(OR(F17="",F18=""),"",IF(AND(OR(F17="BC",F17="CB"),OR(F18="AB",F18="BA")),TRUE,FALSE))</f>
      </c>
    </row>
    <row r="18" spans="1:7" ht="12.75">
      <c r="A18" s="54"/>
      <c r="B18" s="3"/>
      <c r="C18" s="55"/>
      <c r="E18" s="54"/>
      <c r="F18" s="3"/>
      <c r="G18" s="55"/>
    </row>
    <row r="20" spans="1:7" ht="13.5" thickBot="1">
      <c r="A20" s="54" t="s">
        <v>51</v>
      </c>
      <c r="B20" s="25"/>
      <c r="C20" s="55">
        <f>IF(OR(B20="",B21=""),"",IF(AND(OR(B20="BC",B20="CB"),OR(B21="AB",B21="BA")),TRUE,FALSE))</f>
      </c>
      <c r="E20" s="54" t="s">
        <v>98</v>
      </c>
      <c r="F20" s="25"/>
      <c r="G20" s="55">
        <f>IF(OR(F20="",F21=""),"",IF(AND(OR(F20="AC",F20="CA"),OR(F21="BA",F21="AB")),TRUE,FALSE))</f>
      </c>
    </row>
    <row r="21" spans="1:7" ht="12.75">
      <c r="A21" s="54"/>
      <c r="B21" s="3"/>
      <c r="C21" s="55"/>
      <c r="E21" s="54"/>
      <c r="F21" s="3"/>
      <c r="G21" s="55"/>
    </row>
    <row r="23" spans="1:7" ht="13.5" thickBot="1">
      <c r="A23" s="54" t="s">
        <v>52</v>
      </c>
      <c r="B23" s="25"/>
      <c r="C23" s="55">
        <f>IF(OR(B23="",B24=""),"",IF(AND(OR(B23="AC",B23="CA"),OR(B24="BC",B24="CB")),TRUE,FALSE))</f>
      </c>
      <c r="E23" s="54" t="s">
        <v>99</v>
      </c>
      <c r="F23" s="25"/>
      <c r="G23" s="55">
        <f>IF(OR(F23="",F24=""),"",IF(AND(OR(F23="BC",F23="CB"),OR(F24="AC",F24="CA")),TRUE,FALSE))</f>
      </c>
    </row>
    <row r="24" spans="1:7" ht="12.75">
      <c r="A24" s="54"/>
      <c r="B24" s="3"/>
      <c r="C24" s="55"/>
      <c r="E24" s="54"/>
      <c r="F24" s="3"/>
      <c r="G24" s="55"/>
    </row>
    <row r="27" spans="2:10" s="43" customFormat="1" ht="12.75">
      <c r="B27" s="42"/>
      <c r="C27" s="40" t="s">
        <v>161</v>
      </c>
      <c r="G27" s="53" t="s">
        <v>160</v>
      </c>
      <c r="H27" s="52"/>
      <c r="J27" s="40" t="s">
        <v>162</v>
      </c>
    </row>
  </sheetData>
  <sheetProtection password="DCC5" sheet="1" objects="1" scenarios="1"/>
  <mergeCells count="25">
    <mergeCell ref="A20:A21"/>
    <mergeCell ref="C20:C21"/>
    <mergeCell ref="A23:A24"/>
    <mergeCell ref="C23:C24"/>
    <mergeCell ref="A11:A12"/>
    <mergeCell ref="C11:C12"/>
    <mergeCell ref="A17:A18"/>
    <mergeCell ref="C17:C18"/>
    <mergeCell ref="A5:A6"/>
    <mergeCell ref="C5:C6"/>
    <mergeCell ref="A8:A9"/>
    <mergeCell ref="C8:C9"/>
    <mergeCell ref="E11:E12"/>
    <mergeCell ref="G11:G12"/>
    <mergeCell ref="G5:G6"/>
    <mergeCell ref="G8:G9"/>
    <mergeCell ref="E5:E6"/>
    <mergeCell ref="E8:E9"/>
    <mergeCell ref="G27:H27"/>
    <mergeCell ref="E23:E24"/>
    <mergeCell ref="G23:G24"/>
    <mergeCell ref="G17:G18"/>
    <mergeCell ref="G20:G21"/>
    <mergeCell ref="E17:E18"/>
    <mergeCell ref="E20:E21"/>
  </mergeCells>
  <hyperlinks>
    <hyperlink ref="G27:H27" location="Sommaire!A1" display="Sommaire!A1"/>
    <hyperlink ref="C27" location="'e13'!A1" display="'e13'!A1"/>
    <hyperlink ref="J27" location="'e15'!A1" display="'e15'!A1"/>
  </hyperlink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C5" sqref="C5:C6"/>
    </sheetView>
  </sheetViews>
  <sheetFormatPr defaultColWidth="11.421875" defaultRowHeight="12.75"/>
  <cols>
    <col min="1" max="1" width="6.57421875" style="1" customWidth="1"/>
    <col min="2" max="2" width="3.57421875" style="1" customWidth="1"/>
    <col min="3" max="3" width="5.7109375" style="1" customWidth="1"/>
    <col min="4" max="16384" width="11.421875" style="1" customWidth="1"/>
  </cols>
  <sheetData>
    <row r="1" s="5" customFormat="1" ht="12.75">
      <c r="A1" s="5" t="s">
        <v>49</v>
      </c>
    </row>
    <row r="3" ht="12.75">
      <c r="A3" s="6" t="s">
        <v>2</v>
      </c>
    </row>
    <row r="5" spans="1:3" ht="13.5" thickBot="1">
      <c r="A5" s="54" t="s">
        <v>53</v>
      </c>
      <c r="B5" s="25"/>
      <c r="C5" s="55">
        <f>IF(OR(B5="",B6=""),"",IF(AND(OR(B5="IJ",B5="JI"),OR(B6="IK",B6="KI")),TRUE,FALSE))</f>
      </c>
    </row>
    <row r="6" spans="1:3" ht="12.75">
      <c r="A6" s="54"/>
      <c r="B6" s="3"/>
      <c r="C6" s="55"/>
    </row>
    <row r="8" spans="1:3" ht="13.5" thickBot="1">
      <c r="A8" s="54" t="s">
        <v>54</v>
      </c>
      <c r="B8" s="25"/>
      <c r="C8" s="55">
        <f>IF(OR(B8="",B9=""),"",IF(AND(OR(B8="JK",B8="KJ"),OR(B9="IK",B9="KI")),TRUE,FALSE))</f>
      </c>
    </row>
    <row r="9" spans="1:3" ht="12.75">
      <c r="A9" s="54"/>
      <c r="B9" s="3"/>
      <c r="C9" s="55"/>
    </row>
    <row r="11" spans="1:3" ht="13.5" thickBot="1">
      <c r="A11" s="54" t="s">
        <v>55</v>
      </c>
      <c r="B11" s="25"/>
      <c r="C11" s="55">
        <f>IF(OR(B11="",B12=""),"",IF(AND(OR(B11="IJ",B11="JI"),OR(B12="JK",B12="KJ")),TRUE,FALSE))</f>
      </c>
    </row>
    <row r="12" spans="1:3" ht="12.75">
      <c r="A12" s="54"/>
      <c r="B12" s="3"/>
      <c r="C12" s="55"/>
    </row>
    <row r="15" ht="12.75">
      <c r="A15" s="6" t="s">
        <v>9</v>
      </c>
    </row>
    <row r="17" spans="1:3" ht="13.5" thickBot="1">
      <c r="A17" s="54" t="s">
        <v>56</v>
      </c>
      <c r="B17" s="25"/>
      <c r="C17" s="55">
        <f>IF(OR(B17="",B18=""),"",IF(AND(OR(B17="a",B17="a"),OR(B18="c",B18="c")),TRUE,FALSE))</f>
      </c>
    </row>
    <row r="18" spans="1:3" ht="12.75">
      <c r="A18" s="54"/>
      <c r="B18" s="3"/>
      <c r="C18" s="55"/>
    </row>
    <row r="20" spans="1:3" ht="13.5" thickBot="1">
      <c r="A20" s="54" t="s">
        <v>57</v>
      </c>
      <c r="B20" s="25"/>
      <c r="C20" s="55">
        <f>IF(OR(B20="",B21=""),"",IF(AND(OR(B20="b",B20="b"),OR(B21="c",B21="c")),TRUE,FALSE))</f>
      </c>
    </row>
    <row r="21" spans="1:3" ht="12.75">
      <c r="A21" s="54"/>
      <c r="B21" s="3"/>
      <c r="C21" s="55"/>
    </row>
    <row r="23" spans="1:3" ht="13.5" thickBot="1">
      <c r="A23" s="54" t="s">
        <v>58</v>
      </c>
      <c r="B23" s="25"/>
      <c r="C23" s="55">
        <f>IF(OR(B23="",B24=""),"",IF(AND(OR(B23="a",B23="a"),OR(B24="b",B24="b")),TRUE,FALSE))</f>
      </c>
    </row>
    <row r="24" spans="1:3" ht="12.75">
      <c r="A24" s="54"/>
      <c r="B24" s="3"/>
      <c r="C24" s="55"/>
    </row>
    <row r="30" spans="2:9" s="43" customFormat="1" ht="12.75">
      <c r="B30" s="42"/>
      <c r="C30" s="40" t="s">
        <v>161</v>
      </c>
      <c r="F30" s="44" t="s">
        <v>160</v>
      </c>
      <c r="G30" s="40"/>
      <c r="I30" s="40" t="s">
        <v>162</v>
      </c>
    </row>
  </sheetData>
  <sheetProtection password="DCC5" sheet="1" objects="1" scenarios="1"/>
  <mergeCells count="12">
    <mergeCell ref="A20:A21"/>
    <mergeCell ref="C20:C21"/>
    <mergeCell ref="A23:A24"/>
    <mergeCell ref="C23:C24"/>
    <mergeCell ref="A11:A12"/>
    <mergeCell ref="C11:C12"/>
    <mergeCell ref="A17:A18"/>
    <mergeCell ref="C17:C18"/>
    <mergeCell ref="A5:A6"/>
    <mergeCell ref="C5:C6"/>
    <mergeCell ref="A8:A9"/>
    <mergeCell ref="C8:C9"/>
  </mergeCells>
  <hyperlinks>
    <hyperlink ref="F30:G30" location="Sommaire!A1" display="Sommaire!A1"/>
    <hyperlink ref="C30" location="'e14'!A1" display="'e14'!A1"/>
    <hyperlink ref="I30" location="exemple!A1" display="exemple!A1"/>
  </hyperlink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8</v>
      </c>
      <c r="F3" s="7"/>
    </row>
    <row r="4" ht="12.75"/>
    <row r="5" spans="1:7" ht="12.75">
      <c r="A5" s="8" t="s">
        <v>76</v>
      </c>
      <c r="B5" s="9" t="s">
        <v>7</v>
      </c>
      <c r="C5" s="10" t="s">
        <v>63</v>
      </c>
      <c r="D5" s="9">
        <v>23</v>
      </c>
      <c r="E5" s="11" t="s">
        <v>88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36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/>
    <row r="11" spans="2:7" ht="12.75">
      <c r="B11" s="11" t="str">
        <f>B5</f>
        <v>AB</v>
      </c>
      <c r="C11" s="11" t="s">
        <v>66</v>
      </c>
      <c r="D11" s="13" t="s">
        <v>74</v>
      </c>
      <c r="E11" s="2" t="b">
        <f>IF(D11="","",IF(D11="hypoténuse",TRUE,FALSE))</f>
        <v>1</v>
      </c>
      <c r="F11" s="4"/>
      <c r="G11" s="4"/>
    </row>
    <row r="12" spans="2:7" ht="12.75">
      <c r="B12" s="11" t="str">
        <f>E3</f>
        <v>AC</v>
      </c>
      <c r="C12" s="11" t="s">
        <v>66</v>
      </c>
      <c r="D12" s="13" t="s">
        <v>81</v>
      </c>
      <c r="E12" s="2" t="b">
        <f>IF(D12="","",IF(D12="adjacent",TRUE,FALSE))</f>
        <v>1</v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13" t="s">
        <v>80</v>
      </c>
      <c r="I14" s="2" t="b">
        <f>IF(H14="","",IF(H14="cos",TRUE,FALSE))</f>
        <v>1</v>
      </c>
    </row>
    <row r="16" spans="5:9" ht="13.5" thickBot="1">
      <c r="E16" s="61" t="str">
        <f>IF(H14="","",H14)</f>
        <v>cos</v>
      </c>
      <c r="F16" s="61">
        <f>D6</f>
        <v>36</v>
      </c>
      <c r="G16" s="61" t="s">
        <v>63</v>
      </c>
      <c r="H16" s="15" t="s">
        <v>8</v>
      </c>
      <c r="I16" s="55" t="b">
        <f>IF(OR(H16="",H17=""),"",IF(AND(OR(H16="AC",H16="CA"),OR(H17="AB",H17="BA")),TRUE,FALSE))</f>
        <v>1</v>
      </c>
    </row>
    <row r="17" spans="5:9" ht="12.75">
      <c r="E17" s="61"/>
      <c r="F17" s="61"/>
      <c r="G17" s="61"/>
      <c r="H17" s="13" t="s">
        <v>7</v>
      </c>
      <c r="I17" s="55"/>
    </row>
    <row r="19" spans="2:10" ht="13.5" thickBot="1">
      <c r="B19" s="59" t="s">
        <v>69</v>
      </c>
      <c r="C19" s="59"/>
      <c r="D19" s="59"/>
      <c r="E19" s="60">
        <v>0.809</v>
      </c>
      <c r="F19" s="60"/>
      <c r="G19" s="61" t="s">
        <v>63</v>
      </c>
      <c r="H19" s="15" t="s">
        <v>8</v>
      </c>
      <c r="I19" s="55" t="b">
        <f>IF(OR(H19="",H20=""),"",IF(AND(H19=H16,H20=23,E19=ROUND(COS(D6*3.14159/180),3)),TRUE,FALSE))</f>
        <v>1</v>
      </c>
      <c r="J19" s="56"/>
    </row>
    <row r="20" spans="2:10" ht="12.75">
      <c r="B20" s="59"/>
      <c r="C20" s="59"/>
      <c r="D20" s="59"/>
      <c r="E20" s="60"/>
      <c r="F20" s="60"/>
      <c r="G20" s="61"/>
      <c r="H20" s="13">
        <v>23</v>
      </c>
      <c r="I20" s="55"/>
      <c r="J20" s="56"/>
    </row>
    <row r="22" spans="4:11" ht="12.75">
      <c r="D22" s="16" t="s">
        <v>70</v>
      </c>
      <c r="F22" s="11" t="str">
        <f>E3</f>
        <v>AC</v>
      </c>
      <c r="G22" s="8" t="s">
        <v>63</v>
      </c>
      <c r="H22" s="13">
        <v>18.6</v>
      </c>
      <c r="I22" s="2" t="b">
        <f>IF(H22="","",IF(H22=18.6,TRUE,FALSE))</f>
        <v>1</v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AC</v>
      </c>
      <c r="F24" s="8" t="s">
        <v>85</v>
      </c>
      <c r="G24" s="8"/>
      <c r="H24" s="5" t="s">
        <v>96</v>
      </c>
      <c r="I24" s="18"/>
      <c r="J24" s="2" t="b">
        <f>IF(H24="","",IF(H24="18.6m",TRUE,FALSE))</f>
        <v>1</v>
      </c>
    </row>
    <row r="26" spans="1:10" s="43" customFormat="1" ht="12.75">
      <c r="A26" s="40" t="s">
        <v>161</v>
      </c>
      <c r="B26" s="42"/>
      <c r="E26" s="44" t="s">
        <v>160</v>
      </c>
      <c r="G26" s="40"/>
      <c r="J26" s="40" t="s">
        <v>162</v>
      </c>
    </row>
    <row r="27" ht="12.75">
      <c r="E27" s="19"/>
    </row>
  </sheetData>
  <sheetProtection password="DCC5" sheet="1" objects="1" scenarios="1"/>
  <mergeCells count="11">
    <mergeCell ref="E16:E17"/>
    <mergeCell ref="F16:F17"/>
    <mergeCell ref="G16:G17"/>
    <mergeCell ref="I16:I17"/>
    <mergeCell ref="J19:J20"/>
    <mergeCell ref="J22:K22"/>
    <mergeCell ref="B24:D24"/>
    <mergeCell ref="B19:D20"/>
    <mergeCell ref="E19:F20"/>
    <mergeCell ref="G19:G20"/>
    <mergeCell ref="I19:I20"/>
  </mergeCells>
  <hyperlinks>
    <hyperlink ref="E26:G26" location="Sommaire!A1" display="Sommaire!A1"/>
    <hyperlink ref="A26" location="'e15'!A1" display="'e15'!A1"/>
    <hyperlink ref="J26" location="'e20'!A1" display="'e20'!A1"/>
  </hyperlink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bestFit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bestFit="1" customWidth="1"/>
    <col min="7" max="7" width="6.00390625" style="1" bestFit="1" customWidth="1"/>
    <col min="8" max="8" width="5.7109375" style="1" bestFit="1" customWidth="1"/>
    <col min="9" max="16384" width="11.421875" style="1" customWidth="1"/>
  </cols>
  <sheetData>
    <row r="1" s="5" customFormat="1" ht="12.75">
      <c r="A1" s="5" t="s">
        <v>59</v>
      </c>
    </row>
    <row r="3" ht="12.75">
      <c r="A3" s="6" t="s">
        <v>61</v>
      </c>
    </row>
    <row r="4" ht="12.75"/>
    <row r="5" spans="1:6" ht="12.75">
      <c r="A5" s="8" t="s">
        <v>60</v>
      </c>
      <c r="B5" s="9" t="s">
        <v>7</v>
      </c>
      <c r="C5" s="10" t="s">
        <v>63</v>
      </c>
      <c r="D5" s="9">
        <v>5</v>
      </c>
      <c r="E5" s="11" t="s">
        <v>64</v>
      </c>
      <c r="F5" s="11"/>
    </row>
    <row r="6" spans="1:6" ht="12.75">
      <c r="A6" s="4"/>
      <c r="B6" s="9" t="s">
        <v>8</v>
      </c>
      <c r="C6" s="10" t="s">
        <v>63</v>
      </c>
      <c r="D6" s="9">
        <v>8</v>
      </c>
      <c r="E6" s="11" t="s">
        <v>64</v>
      </c>
      <c r="F6" s="11"/>
    </row>
    <row r="7" spans="2:4" ht="12.75">
      <c r="B7" s="12"/>
      <c r="C7" s="4"/>
      <c r="D7" s="12"/>
    </row>
    <row r="8" spans="1:7" ht="12.75">
      <c r="A8" s="8" t="s">
        <v>65</v>
      </c>
      <c r="B8" s="8"/>
      <c r="C8" s="8"/>
      <c r="D8" s="8"/>
      <c r="E8" s="8"/>
      <c r="F8" s="8"/>
      <c r="G8" s="8"/>
    </row>
    <row r="9" ht="12.75">
      <c r="A9" s="8" t="s">
        <v>62</v>
      </c>
    </row>
    <row r="10" ht="12.75"/>
    <row r="11" spans="2:6" ht="12.75">
      <c r="B11" s="11" t="str">
        <f>B5</f>
        <v>AB</v>
      </c>
      <c r="C11" s="11" t="s">
        <v>66</v>
      </c>
      <c r="D11" s="3"/>
      <c r="E11" s="2">
        <f>IF(D11="","",IF(D11="opposé",TRUE,FALSE))</f>
      </c>
      <c r="F11" s="4"/>
    </row>
    <row r="12" spans="2:6" ht="12.75">
      <c r="B12" s="11" t="str">
        <f>B6</f>
        <v>AC</v>
      </c>
      <c r="C12" s="11" t="s">
        <v>66</v>
      </c>
      <c r="D12" s="3"/>
      <c r="E12" s="2">
        <f>IF(D12="","",IF(D12="adjacent",TRUE,FALSE))</f>
      </c>
      <c r="F12" s="4"/>
    </row>
    <row r="14" spans="1:8" ht="12.75">
      <c r="A14" s="8" t="s">
        <v>67</v>
      </c>
      <c r="B14" s="8"/>
      <c r="C14" s="8"/>
      <c r="D14" s="8"/>
      <c r="E14" s="8"/>
      <c r="F14" s="8"/>
      <c r="G14" s="3"/>
      <c r="H14" s="2">
        <f>IF(G14="","",IF(G14="tan",TRUE,FALSE))</f>
      </c>
    </row>
    <row r="16" spans="5:8" ht="13.5" thickBot="1">
      <c r="E16" s="61">
        <f>IF(G14="","",G14)</f>
      </c>
      <c r="F16" s="61" t="s">
        <v>68</v>
      </c>
      <c r="G16" s="25"/>
      <c r="H16" s="55">
        <f>IF(OR(G16="",G17=""),"",IF(AND(OR(G16="AB",G16="BA"),OR(G17="AC",G17="CA")),TRUE,FALSE))</f>
      </c>
    </row>
    <row r="17" spans="5:8" ht="12.75">
      <c r="E17" s="61"/>
      <c r="F17" s="61"/>
      <c r="G17" s="3"/>
      <c r="H17" s="55"/>
    </row>
    <row r="19" spans="5:9" ht="13.5" thickBot="1">
      <c r="E19" s="61">
        <f>IF(G14="","",G14)</f>
      </c>
      <c r="F19" s="61" t="s">
        <v>68</v>
      </c>
      <c r="G19" s="25"/>
      <c r="H19" s="55">
        <f>IF(OR(G19="",G20=""),"",IF(AND(G19=5,G20=8),TRUE,FALSE))</f>
      </c>
      <c r="I19" s="56"/>
    </row>
    <row r="20" spans="5:9" ht="12.75">
      <c r="E20" s="61"/>
      <c r="F20" s="61"/>
      <c r="G20" s="3"/>
      <c r="H20" s="55"/>
      <c r="I20" s="56"/>
    </row>
    <row r="22" spans="5:10" ht="12.75">
      <c r="E22" s="14">
        <f>IF(G14="","",G14)</f>
      </c>
      <c r="F22" s="14" t="s">
        <v>68</v>
      </c>
      <c r="G22" s="3"/>
      <c r="H22" s="2">
        <f>IF(G22="","",IF(G22=0.625,TRUE,FALSE))</f>
      </c>
      <c r="I22" s="57" t="s">
        <v>69</v>
      </c>
      <c r="J22" s="57"/>
    </row>
    <row r="23" spans="5:6" ht="12.75">
      <c r="E23" s="26"/>
      <c r="F23" s="26"/>
    </row>
    <row r="24" spans="4:10" ht="12.75">
      <c r="D24" s="7" t="s">
        <v>70</v>
      </c>
      <c r="F24" s="11" t="s">
        <v>71</v>
      </c>
      <c r="G24" s="3"/>
      <c r="H24" s="2">
        <f>IF(G24="","",IF(G24=ROUND(ATAN(G22)/3.14159*180,0),TRUE,FALSE))</f>
      </c>
      <c r="I24" s="57" t="s">
        <v>72</v>
      </c>
      <c r="J24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9">
    <mergeCell ref="I24:J24"/>
    <mergeCell ref="E19:E20"/>
    <mergeCell ref="F19:F20"/>
    <mergeCell ref="H19:H20"/>
    <mergeCell ref="I19:I20"/>
    <mergeCell ref="E16:E17"/>
    <mergeCell ref="H16:H17"/>
    <mergeCell ref="F16:F17"/>
    <mergeCell ref="I22:J22"/>
  </mergeCells>
  <hyperlinks>
    <hyperlink ref="E27:G27" location="Sommaire!A1" display="Sommaire!A1"/>
    <hyperlink ref="A27" location="exemple!A1" display="exemple!A1"/>
    <hyperlink ref="J27" location="'e21'!A1" display="'e21'!A1"/>
  </hyperlink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customWidth="1"/>
    <col min="7" max="7" width="6.00390625" style="1" customWidth="1"/>
    <col min="8" max="8" width="5.7109375" style="1" customWidth="1"/>
    <col min="9" max="16384" width="11.421875" style="1" customWidth="1"/>
  </cols>
  <sheetData>
    <row r="1" s="5" customFormat="1" ht="12.75">
      <c r="A1" s="5" t="s">
        <v>59</v>
      </c>
    </row>
    <row r="3" ht="12.75">
      <c r="A3" s="6" t="s">
        <v>61</v>
      </c>
    </row>
    <row r="4" ht="12.75"/>
    <row r="5" spans="1:6" ht="12.75">
      <c r="A5" s="8" t="s">
        <v>60</v>
      </c>
      <c r="B5" s="9" t="s">
        <v>7</v>
      </c>
      <c r="C5" s="10" t="s">
        <v>63</v>
      </c>
      <c r="D5" s="9">
        <v>5</v>
      </c>
      <c r="E5" s="11" t="s">
        <v>64</v>
      </c>
      <c r="F5" s="11"/>
    </row>
    <row r="6" spans="1:6" ht="12.75">
      <c r="A6" s="4"/>
      <c r="B6" s="9" t="s">
        <v>73</v>
      </c>
      <c r="C6" s="10" t="s">
        <v>63</v>
      </c>
      <c r="D6" s="9">
        <v>10</v>
      </c>
      <c r="E6" s="11" t="s">
        <v>64</v>
      </c>
      <c r="F6" s="11"/>
    </row>
    <row r="7" spans="2:4" ht="12.75">
      <c r="B7" s="12"/>
      <c r="C7" s="4"/>
      <c r="D7" s="12"/>
    </row>
    <row r="8" spans="1:7" ht="12.75">
      <c r="A8" s="8" t="s">
        <v>65</v>
      </c>
      <c r="B8" s="8"/>
      <c r="C8" s="8"/>
      <c r="D8" s="8"/>
      <c r="E8" s="8"/>
      <c r="F8" s="8"/>
      <c r="G8" s="8"/>
    </row>
    <row r="9" ht="12.75">
      <c r="A9" s="8" t="s">
        <v>62</v>
      </c>
    </row>
    <row r="10" ht="12.75"/>
    <row r="11" spans="2:6" ht="12.75">
      <c r="B11" s="11" t="str">
        <f>B5</f>
        <v>AB</v>
      </c>
      <c r="C11" s="11" t="s">
        <v>66</v>
      </c>
      <c r="D11" s="3"/>
      <c r="E11" s="2">
        <f>IF(D11="","",IF(D11="opposé",TRUE,FALSE))</f>
      </c>
      <c r="F11" s="4"/>
    </row>
    <row r="12" spans="2:6" ht="12.75">
      <c r="B12" s="11" t="str">
        <f>B6</f>
        <v>BC</v>
      </c>
      <c r="C12" s="11" t="s">
        <v>66</v>
      </c>
      <c r="D12" s="3"/>
      <c r="E12" s="2">
        <f>IF(D12="","",IF(D12="hypoténuse",TRUE,FALSE))</f>
      </c>
      <c r="F12" s="4"/>
    </row>
    <row r="14" spans="1:8" ht="12.75">
      <c r="A14" s="8" t="s">
        <v>67</v>
      </c>
      <c r="B14" s="8"/>
      <c r="C14" s="8"/>
      <c r="D14" s="8"/>
      <c r="E14" s="8"/>
      <c r="F14" s="8"/>
      <c r="G14" s="3"/>
      <c r="H14" s="2">
        <f>IF(G14="","",IF(G14="sin",TRUE,FALSE))</f>
      </c>
    </row>
    <row r="16" spans="5:8" ht="13.5" thickBot="1">
      <c r="E16" s="61">
        <f>IF(G14="","",G14)</f>
      </c>
      <c r="F16" s="61" t="s">
        <v>68</v>
      </c>
      <c r="G16" s="25"/>
      <c r="H16" s="55">
        <f>IF(OR(G16="",G17=""),"",IF(AND(OR(G16="AB",G16="BA"),OR(G17="BC",G17="CB")),TRUE,FALSE))</f>
      </c>
    </row>
    <row r="17" spans="5:8" ht="12.75">
      <c r="E17" s="61"/>
      <c r="F17" s="61"/>
      <c r="G17" s="3"/>
      <c r="H17" s="55"/>
    </row>
    <row r="19" spans="5:9" ht="13.5" thickBot="1">
      <c r="E19" s="61">
        <f>IF(G14="","",G14)</f>
      </c>
      <c r="F19" s="61" t="s">
        <v>68</v>
      </c>
      <c r="G19" s="25"/>
      <c r="H19" s="55">
        <f>IF(OR(G19="",G20=""),"",IF(AND(G19=5,G20=10),TRUE,FALSE))</f>
      </c>
      <c r="I19" s="56"/>
    </row>
    <row r="20" spans="5:9" ht="12.75">
      <c r="E20" s="61"/>
      <c r="F20" s="61"/>
      <c r="G20" s="3"/>
      <c r="H20" s="55"/>
      <c r="I20" s="56"/>
    </row>
    <row r="22" spans="5:10" ht="12.75">
      <c r="E22" s="14">
        <f>IF(G14="","",G14)</f>
      </c>
      <c r="F22" s="14" t="s">
        <v>68</v>
      </c>
      <c r="G22" s="3"/>
      <c r="H22" s="2">
        <f>IF(G22="","",IF(G22=0.5,TRUE,FALSE))</f>
      </c>
      <c r="I22" s="57" t="s">
        <v>69</v>
      </c>
      <c r="J22" s="57"/>
    </row>
    <row r="23" spans="5:6" ht="12.75">
      <c r="E23" s="26"/>
      <c r="F23" s="26"/>
    </row>
    <row r="24" spans="4:10" ht="12.75">
      <c r="D24" s="7" t="s">
        <v>70</v>
      </c>
      <c r="F24" s="11" t="s">
        <v>71</v>
      </c>
      <c r="G24" s="3"/>
      <c r="H24" s="2">
        <f>IF(G24="","",IF(G24=ROUND(ASIN(G22)/3.14159*180,0),TRUE,FALSE))</f>
      </c>
      <c r="I24" s="57" t="s">
        <v>72</v>
      </c>
      <c r="J24" s="57"/>
    </row>
    <row r="26" spans="1:10" s="43" customFormat="1" ht="12.75">
      <c r="A26" s="40" t="s">
        <v>161</v>
      </c>
      <c r="B26" s="42"/>
      <c r="E26" s="44" t="s">
        <v>160</v>
      </c>
      <c r="G26" s="40"/>
      <c r="J26" s="40" t="s">
        <v>162</v>
      </c>
    </row>
  </sheetData>
  <sheetProtection password="DCC5" sheet="1" objects="1" scenarios="1"/>
  <mergeCells count="9">
    <mergeCell ref="I19:I20"/>
    <mergeCell ref="I22:J22"/>
    <mergeCell ref="I24:J24"/>
    <mergeCell ref="E16:E17"/>
    <mergeCell ref="F16:F17"/>
    <mergeCell ref="H16:H17"/>
    <mergeCell ref="E19:E20"/>
    <mergeCell ref="F19:F20"/>
    <mergeCell ref="H19:H20"/>
  </mergeCells>
  <hyperlinks>
    <hyperlink ref="E26:G26" location="Sommaire!A1" display="Sommaire!A1"/>
    <hyperlink ref="A26" location="'e20'!A1" display="'e20'!A1"/>
    <hyperlink ref="J26" location="'e22'!A1" display="'e22'!A1"/>
  </hyperlink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customWidth="1"/>
    <col min="7" max="7" width="6.00390625" style="1" customWidth="1"/>
    <col min="8" max="8" width="5.7109375" style="1" customWidth="1"/>
    <col min="9" max="16384" width="11.421875" style="1" customWidth="1"/>
  </cols>
  <sheetData>
    <row r="1" s="5" customFormat="1" ht="12.75">
      <c r="A1" s="5" t="s">
        <v>59</v>
      </c>
    </row>
    <row r="3" ht="12.75">
      <c r="A3" s="6" t="s">
        <v>61</v>
      </c>
    </row>
    <row r="4" ht="12.75"/>
    <row r="5" spans="1:6" ht="12.75">
      <c r="A5" s="8" t="s">
        <v>60</v>
      </c>
      <c r="B5" s="9" t="s">
        <v>8</v>
      </c>
      <c r="C5" s="10" t="s">
        <v>63</v>
      </c>
      <c r="D5" s="9">
        <v>5</v>
      </c>
      <c r="E5" s="11" t="s">
        <v>64</v>
      </c>
      <c r="F5" s="11"/>
    </row>
    <row r="6" spans="1:6" ht="12.75">
      <c r="A6" s="4"/>
      <c r="B6" s="9" t="s">
        <v>73</v>
      </c>
      <c r="C6" s="10" t="s">
        <v>63</v>
      </c>
      <c r="D6" s="9">
        <v>10</v>
      </c>
      <c r="E6" s="11" t="s">
        <v>64</v>
      </c>
      <c r="F6" s="11"/>
    </row>
    <row r="7" spans="2:4" ht="12.75">
      <c r="B7" s="12"/>
      <c r="C7" s="4"/>
      <c r="D7" s="12"/>
    </row>
    <row r="8" spans="1:7" ht="12.75">
      <c r="A8" s="8" t="s">
        <v>65</v>
      </c>
      <c r="B8" s="8"/>
      <c r="C8" s="8"/>
      <c r="D8" s="8"/>
      <c r="E8" s="8"/>
      <c r="F8" s="8"/>
      <c r="G8" s="8"/>
    </row>
    <row r="9" ht="12.75">
      <c r="A9" s="8" t="s">
        <v>62</v>
      </c>
    </row>
    <row r="10" ht="12.75"/>
    <row r="11" spans="2:6" ht="12.75">
      <c r="B11" s="11" t="str">
        <f>B5</f>
        <v>AC</v>
      </c>
      <c r="C11" s="11" t="s">
        <v>66</v>
      </c>
      <c r="D11" s="3"/>
      <c r="E11" s="2">
        <f>IF(D11="","",IF(D11="adjacent",TRUE,FALSE))</f>
      </c>
      <c r="F11" s="4"/>
    </row>
    <row r="12" spans="2:6" ht="12.75">
      <c r="B12" s="11" t="str">
        <f>B6</f>
        <v>BC</v>
      </c>
      <c r="C12" s="11" t="s">
        <v>66</v>
      </c>
      <c r="D12" s="3"/>
      <c r="E12" s="2">
        <f>IF(D12="","",IF(D12="hypoténuse",TRUE,FALSE))</f>
      </c>
      <c r="F12" s="4"/>
    </row>
    <row r="14" spans="1:8" ht="12.75">
      <c r="A14" s="8" t="s">
        <v>67</v>
      </c>
      <c r="B14" s="8"/>
      <c r="C14" s="8"/>
      <c r="D14" s="8"/>
      <c r="E14" s="8"/>
      <c r="F14" s="8"/>
      <c r="G14" s="3"/>
      <c r="H14" s="2">
        <f>IF(G14="","",IF(G14="cos",TRUE,FALSE))</f>
      </c>
    </row>
    <row r="16" spans="5:8" ht="13.5" thickBot="1">
      <c r="E16" s="61">
        <f>IF(G14="","",G14)</f>
      </c>
      <c r="F16" s="61" t="s">
        <v>68</v>
      </c>
      <c r="G16" s="25"/>
      <c r="H16" s="55">
        <f>IF(OR(G16="",G17=""),"",IF(AND(OR(G16="AC",G16="CA"),OR(G17="BC",G17="CB")),TRUE,FALSE))</f>
      </c>
    </row>
    <row r="17" spans="5:8" ht="12.75">
      <c r="E17" s="61"/>
      <c r="F17" s="61"/>
      <c r="G17" s="3"/>
      <c r="H17" s="55"/>
    </row>
    <row r="19" spans="5:9" ht="13.5" thickBot="1">
      <c r="E19" s="61">
        <f>IF(G14="","",G14)</f>
      </c>
      <c r="F19" s="61" t="s">
        <v>68</v>
      </c>
      <c r="G19" s="25"/>
      <c r="H19" s="55">
        <f>IF(OR(G19="",G20=""),"",IF(AND(G19=5,G20=10),TRUE,FALSE))</f>
      </c>
      <c r="I19" s="56"/>
    </row>
    <row r="20" spans="5:9" ht="12.75">
      <c r="E20" s="61"/>
      <c r="F20" s="61"/>
      <c r="G20" s="3"/>
      <c r="H20" s="55"/>
      <c r="I20" s="56"/>
    </row>
    <row r="22" spans="5:10" ht="12.75">
      <c r="E22" s="14">
        <f>IF(G14="","",G14)</f>
      </c>
      <c r="F22" s="14" t="s">
        <v>68</v>
      </c>
      <c r="G22" s="3"/>
      <c r="H22" s="2">
        <f>IF(G22="","",IF(G22=0.5,TRUE,FALSE))</f>
      </c>
      <c r="I22" s="57" t="s">
        <v>69</v>
      </c>
      <c r="J22" s="57"/>
    </row>
    <row r="23" spans="5:6" ht="12.75">
      <c r="E23" s="26"/>
      <c r="F23" s="26"/>
    </row>
    <row r="24" spans="4:10" ht="12.75">
      <c r="D24" s="7" t="s">
        <v>70</v>
      </c>
      <c r="F24" s="11" t="s">
        <v>71</v>
      </c>
      <c r="G24" s="3"/>
      <c r="H24" s="2">
        <f>IF(G24="","",IF(G24=ROUND(ACOS(G22)/3.14159*180,0),TRUE,FALSE))</f>
      </c>
      <c r="I24" s="57" t="s">
        <v>72</v>
      </c>
      <c r="J24" s="57"/>
    </row>
    <row r="26" spans="1:10" s="43" customFormat="1" ht="12.75">
      <c r="A26" s="40" t="s">
        <v>161</v>
      </c>
      <c r="B26" s="42"/>
      <c r="E26" s="44" t="s">
        <v>160</v>
      </c>
      <c r="G26" s="40"/>
      <c r="J26" s="40" t="s">
        <v>162</v>
      </c>
    </row>
  </sheetData>
  <sheetProtection password="DCC5" sheet="1" objects="1" scenarios="1"/>
  <mergeCells count="9">
    <mergeCell ref="I19:I20"/>
    <mergeCell ref="I22:J22"/>
    <mergeCell ref="I24:J24"/>
    <mergeCell ref="E16:E17"/>
    <mergeCell ref="F16:F17"/>
    <mergeCell ref="H16:H17"/>
    <mergeCell ref="E19:E20"/>
    <mergeCell ref="F19:F20"/>
    <mergeCell ref="H19:H20"/>
  </mergeCells>
  <hyperlinks>
    <hyperlink ref="E26:G26" location="Sommaire!A1" display="Sommaire!A1"/>
    <hyperlink ref="A26" location="'e21'!A1" display="'e21'!A1"/>
    <hyperlink ref="J26" location="'e30'!A1" display="'e30'!A1"/>
  </hyperlink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bestFit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8</v>
      </c>
      <c r="F3" s="7"/>
    </row>
    <row r="4" ht="12.75"/>
    <row r="5" spans="1:7" ht="12.75">
      <c r="A5" s="8" t="s">
        <v>76</v>
      </c>
      <c r="B5" s="9" t="s">
        <v>7</v>
      </c>
      <c r="C5" s="10" t="s">
        <v>63</v>
      </c>
      <c r="D5" s="9">
        <v>15</v>
      </c>
      <c r="E5" s="11" t="s">
        <v>64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45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/>
    <row r="11" spans="2:7" ht="12.75">
      <c r="B11" s="11" t="str">
        <f>B5</f>
        <v>AB</v>
      </c>
      <c r="C11" s="11" t="s">
        <v>66</v>
      </c>
      <c r="D11" s="3"/>
      <c r="E11" s="2">
        <f>IF(D11="","",IF(D11="hypoténuse",TRUE,FALSE))</f>
      </c>
      <c r="F11" s="4"/>
      <c r="G11" s="4"/>
    </row>
    <row r="12" spans="2:7" ht="12.75">
      <c r="B12" s="11" t="str">
        <f>E3</f>
        <v>AC</v>
      </c>
      <c r="C12" s="11" t="s">
        <v>66</v>
      </c>
      <c r="D12" s="3"/>
      <c r="E12" s="2">
        <f>IF(D12="","",IF(D12="adjacent",TRUE,FALSE))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 t="s">
        <v>80</v>
      </c>
      <c r="I14" s="2" t="b">
        <f>IF(H14="","",IF(H14="cos",TRUE,FALSE))</f>
        <v>1</v>
      </c>
    </row>
    <row r="16" spans="5:9" ht="13.5" thickBot="1">
      <c r="E16" s="61" t="str">
        <f>IF(H14="","",H14)</f>
        <v>cos</v>
      </c>
      <c r="F16" s="61">
        <f>D6</f>
        <v>45</v>
      </c>
      <c r="G16" s="61" t="s">
        <v>63</v>
      </c>
      <c r="H16" s="25"/>
      <c r="I16" s="55">
        <f>IF(OR(H16="",H17=""),"",IF(AND(OR(H16="AC",H16="CA"),OR(H17="AB",H17="BA")),TRUE,FALSE))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0.707</v>
      </c>
      <c r="F19" s="63"/>
      <c r="G19" s="61" t="s">
        <v>63</v>
      </c>
      <c r="H19" s="25"/>
      <c r="I19" s="55">
        <f>IF(OR(H19="",H20=""),"",IF(AND(H19=H16,H20=15,E19=ROUND(COS(D6*3.14159/180),3)),TRUE,FALSE))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AC</v>
      </c>
      <c r="G22" s="8" t="s">
        <v>63</v>
      </c>
      <c r="H22" s="3"/>
      <c r="I22" s="2">
        <f>IF(H22="","",IF(H22=10.6,TRUE,FALSE))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AC</v>
      </c>
      <c r="F24" s="8" t="s">
        <v>85</v>
      </c>
      <c r="G24" s="8"/>
      <c r="H24" s="62"/>
      <c r="I24" s="62"/>
      <c r="J24" s="2">
        <f>IF(H24="","",IF(H24="10,6cm",TRUE,FALSE))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B19:D20"/>
    <mergeCell ref="J19:J20"/>
    <mergeCell ref="I16:I17"/>
    <mergeCell ref="I19:I20"/>
    <mergeCell ref="F16:F17"/>
    <mergeCell ref="G19:G20"/>
    <mergeCell ref="E19:F20"/>
    <mergeCell ref="E16:E17"/>
    <mergeCell ref="G16:G17"/>
    <mergeCell ref="J22:K22"/>
    <mergeCell ref="B24:D24"/>
    <mergeCell ref="H24:I24"/>
    <mergeCell ref="F25:J25"/>
  </mergeCells>
  <hyperlinks>
    <hyperlink ref="E27:G27" location="Sommaire!A1" display="Sommaire!A1"/>
    <hyperlink ref="A27" location="'e22'!A1" display="'e22'!A1"/>
    <hyperlink ref="J27" location="'e31'!A1" display="'e31'!A1"/>
  </hyperlinks>
  <printOptions/>
  <pageMargins left="0.75" right="0.75" top="1" bottom="1" header="0.4921259845" footer="0.4921259845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bestFit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8</v>
      </c>
      <c r="F3" s="7"/>
    </row>
    <row r="5" spans="1:7" ht="12.75">
      <c r="A5" s="8" t="s">
        <v>76</v>
      </c>
      <c r="B5" s="9" t="s">
        <v>7</v>
      </c>
      <c r="C5" s="10" t="s">
        <v>63</v>
      </c>
      <c r="D5" s="9">
        <v>20</v>
      </c>
      <c r="E5" s="11" t="s">
        <v>86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50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1" spans="2:7" ht="12.75">
      <c r="B11" s="11" t="str">
        <f>B5</f>
        <v>AB</v>
      </c>
      <c r="C11" s="11" t="s">
        <v>66</v>
      </c>
      <c r="D11" s="3"/>
      <c r="E11" s="2">
        <f>IF(D11="","",IF(D11="hypoténuse",TRUE,FALSE))</f>
      </c>
      <c r="F11" s="4"/>
      <c r="G11" s="4"/>
    </row>
    <row r="12" spans="2:7" ht="12.75">
      <c r="B12" s="11" t="str">
        <f>E3</f>
        <v>AC</v>
      </c>
      <c r="C12" s="11" t="s">
        <v>66</v>
      </c>
      <c r="D12" s="3"/>
      <c r="E12" s="2">
        <f>IF(D12="","",IF(D12="opposé",TRUE,FALSE))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/>
      <c r="I14" s="2">
        <f>IF(H14="","",IF(H14="sin",TRUE,FALSE))</f>
      </c>
    </row>
    <row r="16" spans="5:9" ht="13.5" thickBot="1">
      <c r="E16" s="61">
        <f>IF(H14="","",H14)</f>
      </c>
      <c r="F16" s="61">
        <f>D6</f>
        <v>50</v>
      </c>
      <c r="G16" s="61" t="s">
        <v>63</v>
      </c>
      <c r="H16" s="25"/>
      <c r="I16" s="55">
        <f>IF(OR(H16="",H17=""),"",IF(AND(OR(H16="AC",H16="CA"),OR(H17="AB",H17="BA")),TRUE,FALSE))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0.766</v>
      </c>
      <c r="F19" s="63"/>
      <c r="G19" s="61" t="s">
        <v>63</v>
      </c>
      <c r="H19" s="25"/>
      <c r="I19" s="55">
        <f>IF(OR(H19="",H20=""),"",IF(AND(H19=H16,H20=20,E19=ROUND(SIN(D6*3.14159/180),3)),TRUE,FALSE))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AC</v>
      </c>
      <c r="G22" s="8" t="s">
        <v>63</v>
      </c>
      <c r="H22" s="3"/>
      <c r="I22" s="2">
        <f>IF(H22="","",IF(H22=15.3,TRUE,FALSE))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AC</v>
      </c>
      <c r="F24" s="8" t="s">
        <v>85</v>
      </c>
      <c r="G24" s="8"/>
      <c r="H24" s="62"/>
      <c r="I24" s="62"/>
      <c r="J24" s="2">
        <f>IF(H24="","",IF(H24="15,3mm",TRUE,FALSE))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E16:E17"/>
    <mergeCell ref="F16:F17"/>
    <mergeCell ref="G16:G17"/>
    <mergeCell ref="I16:I17"/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</mergeCells>
  <hyperlinks>
    <hyperlink ref="E27:G27" location="Sommaire!A1" display="Sommaire!A1"/>
    <hyperlink ref="A27" location="'e30'!A1" display="'e30'!A1"/>
    <hyperlink ref="J27" location="'e32'!A1" display="'e32'!A1"/>
  </hyperlinks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8</v>
      </c>
      <c r="F3" s="7"/>
    </row>
    <row r="5" spans="1:7" ht="12.75">
      <c r="A5" s="8" t="s">
        <v>76</v>
      </c>
      <c r="B5" s="9" t="s">
        <v>73</v>
      </c>
      <c r="C5" s="10" t="s">
        <v>63</v>
      </c>
      <c r="D5" s="9">
        <v>2</v>
      </c>
      <c r="E5" s="11" t="s">
        <v>88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60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1" spans="2:7" ht="12.75">
      <c r="B11" s="11" t="str">
        <f>B5</f>
        <v>BC</v>
      </c>
      <c r="C11" s="11" t="s">
        <v>66</v>
      </c>
      <c r="D11" s="3"/>
      <c r="E11" s="2">
        <f>IF(D11="","",IF(D11="adjacent",TRUE,FALSE))</f>
      </c>
      <c r="F11" s="4"/>
      <c r="G11" s="4"/>
    </row>
    <row r="12" spans="2:7" ht="12.75">
      <c r="B12" s="11" t="str">
        <f>E3</f>
        <v>AC</v>
      </c>
      <c r="C12" s="11" t="s">
        <v>66</v>
      </c>
      <c r="D12" s="3"/>
      <c r="E12" s="2">
        <f>IF(D12="","",IF(D12="opposé",TRUE,FALSE))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/>
      <c r="I14" s="2">
        <f>IF(H14="","",IF(H14="tan",TRUE,FALSE))</f>
      </c>
    </row>
    <row r="16" spans="5:9" ht="13.5" thickBot="1">
      <c r="E16" s="61">
        <f>IF(H14="","",H14)</f>
      </c>
      <c r="F16" s="61">
        <f>D6</f>
        <v>60</v>
      </c>
      <c r="G16" s="61" t="s">
        <v>63</v>
      </c>
      <c r="H16" s="25"/>
      <c r="I16" s="55">
        <f>IF(OR(H16="",H17=""),"",IF(AND(OR(H16="AC",H16="CA"),OR(H17="CB",H17="BC")),TRUE,FALSE))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1.732</v>
      </c>
      <c r="F19" s="63"/>
      <c r="G19" s="61" t="s">
        <v>63</v>
      </c>
      <c r="H19" s="25"/>
      <c r="I19" s="55">
        <f>IF(OR(H19="",H20=""),"",IF(AND(H19=H16,H20=2,E19=ROUND(TAN(D6*3.14159/180),3)),TRUE,FALSE))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AC</v>
      </c>
      <c r="G22" s="8" t="s">
        <v>63</v>
      </c>
      <c r="H22" s="3"/>
      <c r="I22" s="2">
        <f>IF(H22="","",IF(H22=3.5,TRUE,FALSE))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AC</v>
      </c>
      <c r="F24" s="8" t="s">
        <v>85</v>
      </c>
      <c r="G24" s="8"/>
      <c r="H24" s="62"/>
      <c r="I24" s="62"/>
      <c r="J24" s="2">
        <f>IF(H24="","",IF(H24="3,5m",TRUE,FALSE))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E16:E17"/>
    <mergeCell ref="F16:F17"/>
    <mergeCell ref="G16:G17"/>
    <mergeCell ref="I16:I17"/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</mergeCells>
  <hyperlinks>
    <hyperlink ref="E27:G27" location="Sommaire!A1" display="Sommaire!A1"/>
    <hyperlink ref="A27" location="'e31'!A1" display="'e31'!A1"/>
    <hyperlink ref="J27" location="'e33'!A1" display="'e33'!A1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8515625" style="1" bestFit="1" customWidth="1"/>
    <col min="2" max="2" width="10.421875" style="1" customWidth="1"/>
    <col min="3" max="3" width="11.421875" style="1" customWidth="1"/>
    <col min="4" max="4" width="37.8515625" style="1" customWidth="1"/>
    <col min="5" max="16384" width="11.421875" style="1" customWidth="1"/>
  </cols>
  <sheetData>
    <row r="1" s="18" customFormat="1" ht="12.75"/>
    <row r="2" spans="1:7" s="18" customFormat="1" ht="26.25">
      <c r="A2" s="49" t="s">
        <v>124</v>
      </c>
      <c r="B2" s="49"/>
      <c r="C2" s="49"/>
      <c r="D2" s="49"/>
      <c r="E2" s="32"/>
      <c r="F2" s="32"/>
      <c r="G2" s="32"/>
    </row>
    <row r="3" spans="1:7" s="18" customFormat="1" ht="18">
      <c r="A3" s="48" t="s">
        <v>142</v>
      </c>
      <c r="B3" s="48"/>
      <c r="C3" s="48"/>
      <c r="D3" s="48"/>
      <c r="E3" s="32"/>
      <c r="F3" s="32"/>
      <c r="G3" s="32"/>
    </row>
    <row r="4" spans="1:4" s="18" customFormat="1" ht="18">
      <c r="A4" s="48"/>
      <c r="B4" s="48"/>
      <c r="C4" s="48"/>
      <c r="D4" s="48"/>
    </row>
    <row r="5" spans="1:6" s="18" customFormat="1" ht="15.75" customHeight="1">
      <c r="A5" s="50" t="s">
        <v>129</v>
      </c>
      <c r="B5" s="33" t="s">
        <v>125</v>
      </c>
      <c r="C5" s="51" t="s">
        <v>130</v>
      </c>
      <c r="D5" s="51"/>
      <c r="E5" s="37"/>
      <c r="F5" s="37"/>
    </row>
    <row r="6" spans="1:6" s="18" customFormat="1" ht="12.75">
      <c r="A6" s="50"/>
      <c r="B6" s="33" t="s">
        <v>126</v>
      </c>
      <c r="C6" s="51"/>
      <c r="D6" s="51"/>
      <c r="E6" s="37"/>
      <c r="F6" s="37"/>
    </row>
    <row r="7" spans="1:6" s="18" customFormat="1" ht="12.75">
      <c r="A7" s="50"/>
      <c r="B7" s="33" t="s">
        <v>127</v>
      </c>
      <c r="C7" s="51"/>
      <c r="D7" s="51"/>
      <c r="E7" s="37"/>
      <c r="F7" s="37"/>
    </row>
    <row r="8" spans="1:6" s="18" customFormat="1" ht="12.75">
      <c r="A8" s="50"/>
      <c r="B8" s="33" t="s">
        <v>128</v>
      </c>
      <c r="C8" s="51"/>
      <c r="D8" s="51"/>
      <c r="E8" s="37"/>
      <c r="F8" s="37"/>
    </row>
    <row r="9" s="18" customFormat="1" ht="12.75"/>
    <row r="10" s="18" customFormat="1" ht="12.75"/>
    <row r="11" spans="1:4" s="18" customFormat="1" ht="12.75">
      <c r="A11" s="50" t="s">
        <v>129</v>
      </c>
      <c r="B11" s="33" t="s">
        <v>131</v>
      </c>
      <c r="C11" s="51" t="s">
        <v>145</v>
      </c>
      <c r="D11" s="51"/>
    </row>
    <row r="12" spans="1:4" s="18" customFormat="1" ht="12.75">
      <c r="A12" s="50"/>
      <c r="B12" s="33" t="s">
        <v>132</v>
      </c>
      <c r="C12" s="51"/>
      <c r="D12" s="51"/>
    </row>
    <row r="13" spans="1:4" s="18" customFormat="1" ht="12.75">
      <c r="A13" s="50"/>
      <c r="B13" s="33" t="s">
        <v>133</v>
      </c>
      <c r="C13" s="51"/>
      <c r="D13" s="51"/>
    </row>
    <row r="14" spans="1:4" s="18" customFormat="1" ht="12.75">
      <c r="A14" s="50"/>
      <c r="B14" s="33" t="s">
        <v>134</v>
      </c>
      <c r="C14" s="51"/>
      <c r="D14" s="51"/>
    </row>
    <row r="15" spans="1:4" s="18" customFormat="1" ht="12.75">
      <c r="A15" s="50"/>
      <c r="B15" s="33" t="s">
        <v>135</v>
      </c>
      <c r="C15" s="51"/>
      <c r="D15" s="51"/>
    </row>
    <row r="16" spans="1:4" s="18" customFormat="1" ht="12.75">
      <c r="A16" s="50"/>
      <c r="B16" s="33" t="s">
        <v>136</v>
      </c>
      <c r="C16" s="51"/>
      <c r="D16" s="51"/>
    </row>
    <row r="17" spans="1:4" s="18" customFormat="1" ht="15.75">
      <c r="A17" s="35"/>
      <c r="B17" s="33"/>
      <c r="C17" s="37"/>
      <c r="D17" s="37"/>
    </row>
    <row r="18" spans="1:4" s="18" customFormat="1" ht="15.75">
      <c r="A18" s="35"/>
      <c r="B18" s="33"/>
      <c r="C18" s="37"/>
      <c r="D18" s="37"/>
    </row>
    <row r="19" spans="1:4" s="18" customFormat="1" ht="15.75">
      <c r="A19" s="35" t="s">
        <v>143</v>
      </c>
      <c r="B19" s="33" t="s">
        <v>137</v>
      </c>
      <c r="C19" s="36" t="s">
        <v>144</v>
      </c>
      <c r="D19" s="37"/>
    </row>
    <row r="20" s="18" customFormat="1" ht="12.75"/>
    <row r="21" s="18" customFormat="1" ht="12.75"/>
    <row r="22" spans="1:4" s="18" customFormat="1" ht="15.75" customHeight="1">
      <c r="A22" s="50" t="s">
        <v>129</v>
      </c>
      <c r="B22" s="33" t="s">
        <v>138</v>
      </c>
      <c r="C22" s="51" t="s">
        <v>141</v>
      </c>
      <c r="D22" s="51"/>
    </row>
    <row r="23" spans="1:4" s="18" customFormat="1" ht="15.75" customHeight="1">
      <c r="A23" s="50"/>
      <c r="B23" s="33" t="s">
        <v>139</v>
      </c>
      <c r="C23" s="51"/>
      <c r="D23" s="51"/>
    </row>
    <row r="24" spans="1:4" s="18" customFormat="1" ht="15.75" customHeight="1">
      <c r="A24" s="50"/>
      <c r="B24" s="33" t="s">
        <v>140</v>
      </c>
      <c r="C24" s="51"/>
      <c r="D24" s="51"/>
    </row>
    <row r="25" spans="1:4" s="18" customFormat="1" ht="15.75">
      <c r="A25" s="35"/>
      <c r="B25" s="38"/>
      <c r="C25" s="39"/>
      <c r="D25" s="39"/>
    </row>
    <row r="26" s="18" customFormat="1" ht="12.75"/>
    <row r="27" spans="1:4" s="18" customFormat="1" ht="12.75">
      <c r="A27" s="50" t="s">
        <v>129</v>
      </c>
      <c r="B27" s="33" t="s">
        <v>146</v>
      </c>
      <c r="C27" s="51" t="s">
        <v>152</v>
      </c>
      <c r="D27" s="51"/>
    </row>
    <row r="28" spans="1:4" s="18" customFormat="1" ht="12.75">
      <c r="A28" s="50"/>
      <c r="B28" s="33" t="s">
        <v>147</v>
      </c>
      <c r="C28" s="51"/>
      <c r="D28" s="51"/>
    </row>
    <row r="29" spans="1:4" s="18" customFormat="1" ht="12.75">
      <c r="A29" s="50"/>
      <c r="B29" s="33" t="s">
        <v>148</v>
      </c>
      <c r="C29" s="51"/>
      <c r="D29" s="51"/>
    </row>
    <row r="30" spans="1:4" s="18" customFormat="1" ht="12.75">
      <c r="A30" s="50"/>
      <c r="B30" s="33" t="s">
        <v>149</v>
      </c>
      <c r="C30" s="51"/>
      <c r="D30" s="51"/>
    </row>
    <row r="31" spans="1:4" s="18" customFormat="1" ht="12.75">
      <c r="A31" s="50"/>
      <c r="B31" s="33" t="s">
        <v>150</v>
      </c>
      <c r="C31" s="51"/>
      <c r="D31" s="51"/>
    </row>
    <row r="32" spans="1:4" s="18" customFormat="1" ht="12.75">
      <c r="A32" s="50"/>
      <c r="B32" s="33" t="s">
        <v>151</v>
      </c>
      <c r="C32" s="51"/>
      <c r="D32" s="51"/>
    </row>
    <row r="33" s="18" customFormat="1" ht="12.75"/>
    <row r="34" s="18" customFormat="1" ht="12.75"/>
    <row r="35" spans="1:4" s="18" customFormat="1" ht="12.75">
      <c r="A35" s="50" t="s">
        <v>129</v>
      </c>
      <c r="B35" s="33" t="s">
        <v>153</v>
      </c>
      <c r="C35" s="51" t="s">
        <v>156</v>
      </c>
      <c r="D35" s="51"/>
    </row>
    <row r="36" spans="1:4" s="18" customFormat="1" ht="12.75">
      <c r="A36" s="50"/>
      <c r="B36" s="33" t="s">
        <v>154</v>
      </c>
      <c r="C36" s="51"/>
      <c r="D36" s="51"/>
    </row>
    <row r="37" spans="1:4" s="18" customFormat="1" ht="12.75">
      <c r="A37" s="50"/>
      <c r="B37" s="33" t="s">
        <v>155</v>
      </c>
      <c r="C37" s="51"/>
      <c r="D37" s="51"/>
    </row>
    <row r="38" s="18" customFormat="1" ht="12.75"/>
    <row r="39" s="18" customFormat="1" ht="12.75"/>
    <row r="40" spans="1:4" s="18" customFormat="1" ht="15.75" customHeight="1">
      <c r="A40" s="50" t="s">
        <v>129</v>
      </c>
      <c r="B40" s="33" t="s">
        <v>157</v>
      </c>
      <c r="C40" s="51" t="s">
        <v>159</v>
      </c>
      <c r="D40" s="51"/>
    </row>
    <row r="41" spans="1:4" s="18" customFormat="1" ht="12.75">
      <c r="A41" s="50"/>
      <c r="B41" s="33" t="s">
        <v>158</v>
      </c>
      <c r="C41" s="51"/>
      <c r="D41" s="51"/>
    </row>
    <row r="42" s="18" customFormat="1" ht="12.75"/>
    <row r="43" s="18" customFormat="1" ht="12.75"/>
    <row r="44" s="18" customFormat="1" ht="12.75"/>
    <row r="45" s="18" customFormat="1" ht="12.75"/>
    <row r="46" s="18" customFormat="1" ht="12.75"/>
  </sheetData>
  <sheetProtection password="DCC5" sheet="1" objects="1" scenarios="1"/>
  <mergeCells count="15">
    <mergeCell ref="A22:A24"/>
    <mergeCell ref="C22:D24"/>
    <mergeCell ref="A40:A41"/>
    <mergeCell ref="C40:D41"/>
    <mergeCell ref="A27:A32"/>
    <mergeCell ref="C27:D32"/>
    <mergeCell ref="A35:A37"/>
    <mergeCell ref="C35:D37"/>
    <mergeCell ref="A4:D4"/>
    <mergeCell ref="A2:D2"/>
    <mergeCell ref="A3:D3"/>
    <mergeCell ref="A11:A16"/>
    <mergeCell ref="C11:D16"/>
    <mergeCell ref="C5:D8"/>
    <mergeCell ref="A5:A8"/>
  </mergeCells>
  <hyperlinks>
    <hyperlink ref="B5" location="'e1'!A1" display="'e1'!A1"/>
    <hyperlink ref="B6" location="'e2'!A1" display="'e2'!A1"/>
    <hyperlink ref="B7" location="'e3'!A1" display="'e3'!A1"/>
    <hyperlink ref="B8" location="'e4'!A1" display="'e4'!A1"/>
    <hyperlink ref="B11" location="'e10'!A1" display="'e10'!A1"/>
    <hyperlink ref="B13" location="'e12'!A1" display="'e12'!A1"/>
    <hyperlink ref="B14" location="'e13'!A1" display="'e13'!A1"/>
    <hyperlink ref="B12" location="'e11'!A1" display="'e11'!A1"/>
    <hyperlink ref="B15" location="'e14'!A1" display="'e14'!A1"/>
    <hyperlink ref="B16" location="'e15'!A1" display="'e15'!A1"/>
    <hyperlink ref="B23" location="'e21'!A1" display="'e21'!A1"/>
    <hyperlink ref="B24" location="'e22'!A1" display="'e22'!A1"/>
    <hyperlink ref="B22" location="'e20'!A1" display="'e20'!A1"/>
    <hyperlink ref="B19" location="exemple!A1" display="exemple!A1"/>
    <hyperlink ref="B27" location="'e30'!A1" display="'e30'!A1"/>
    <hyperlink ref="B29" location="'e32'!A1" display="'e32'!A1"/>
    <hyperlink ref="B30" location="'e33'!A1" display="'e33'!A1"/>
    <hyperlink ref="B28" location="'e31'!A1" display="'e31'!A1"/>
    <hyperlink ref="B31" location="'e34'!A1" display="'e34'!A1"/>
    <hyperlink ref="B32" location="'e35'!A1" display="'e35'!A1"/>
    <hyperlink ref="B36" location="'e41'!A1" display="'e41'!A1"/>
    <hyperlink ref="B37" location="'e42'!A1" display="'e42'!A1"/>
    <hyperlink ref="B35" location="'e40'!A1" display="'e40'!A1"/>
    <hyperlink ref="B40" location="'e50'!A1" display="'e50'!A1"/>
    <hyperlink ref="B41" location="'e51'!A1" display="'e51'!A1"/>
  </hyperlinks>
  <printOptions/>
  <pageMargins left="0.75" right="0.75" top="1" bottom="1" header="0.4921259845" footer="0.492125984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73</v>
      </c>
      <c r="F3" s="7"/>
    </row>
    <row r="5" spans="1:7" ht="12.75">
      <c r="A5" s="8" t="s">
        <v>76</v>
      </c>
      <c r="B5" s="9" t="s">
        <v>8</v>
      </c>
      <c r="C5" s="10" t="s">
        <v>63</v>
      </c>
      <c r="D5" s="9">
        <v>50</v>
      </c>
      <c r="E5" s="11" t="s">
        <v>64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75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1" spans="2:7" ht="12.75">
      <c r="B11" s="11" t="str">
        <f>B5</f>
        <v>AC</v>
      </c>
      <c r="C11" s="11" t="s">
        <v>66</v>
      </c>
      <c r="D11" s="3"/>
      <c r="E11" s="2">
        <f>IF(D11="","",IF(D11="opposé",TRUE,FALSE))</f>
      </c>
      <c r="F11" s="4"/>
      <c r="G11" s="4"/>
    </row>
    <row r="12" spans="2:7" ht="12.75">
      <c r="B12" s="11" t="str">
        <f>E3</f>
        <v>BC</v>
      </c>
      <c r="C12" s="11" t="s">
        <v>66</v>
      </c>
      <c r="D12" s="3"/>
      <c r="E12" s="2">
        <f>IF(D12="","",IF(D12="adjacent",TRUE,FALSE))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/>
      <c r="I14" s="2">
        <f>IF(H14="","",IF(H14="tan",TRUE,FALSE))</f>
      </c>
    </row>
    <row r="16" spans="5:9" ht="13.5" thickBot="1">
      <c r="E16" s="61">
        <f>IF(H14="","",H14)</f>
      </c>
      <c r="F16" s="61">
        <f>D6</f>
        <v>75</v>
      </c>
      <c r="G16" s="61" t="s">
        <v>63</v>
      </c>
      <c r="H16" s="25"/>
      <c r="I16" s="55">
        <f>IF(OR(H16="",H17=""),"",IF(AND(OR(H16="AC",H16="CA"),OR(H17="CB",H17="BC")),TRUE,FALSE))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3.732</v>
      </c>
      <c r="F19" s="63"/>
      <c r="G19" s="61" t="s">
        <v>63</v>
      </c>
      <c r="H19" s="25"/>
      <c r="I19" s="55">
        <f>IF(OR(H19="",H20=""),"",IF(AND(H20=H17,H19=50,E19=ROUND(TAN(D6*3.14159/180),3)),TRUE,FALSE))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BC</v>
      </c>
      <c r="G22" s="8" t="s">
        <v>63</v>
      </c>
      <c r="H22" s="3"/>
      <c r="I22" s="2">
        <f>IF(H22="","",IF(H22=13.4,TRUE,FALSE))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BC</v>
      </c>
      <c r="F24" s="8" t="s">
        <v>85</v>
      </c>
      <c r="G24" s="8"/>
      <c r="H24" s="62"/>
      <c r="I24" s="62"/>
      <c r="J24" s="2">
        <f>IF(H24="","",IF(H24="13,4cm",TRUE,FALSE))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E16:E17"/>
    <mergeCell ref="F16:F17"/>
    <mergeCell ref="G16:G17"/>
    <mergeCell ref="I16:I17"/>
    <mergeCell ref="B24:D24"/>
    <mergeCell ref="B19:D20"/>
    <mergeCell ref="E19:F20"/>
    <mergeCell ref="G19:G20"/>
    <mergeCell ref="F25:J25"/>
    <mergeCell ref="H24:I24"/>
    <mergeCell ref="J19:J20"/>
    <mergeCell ref="J22:K22"/>
    <mergeCell ref="I19:I20"/>
  </mergeCells>
  <hyperlinks>
    <hyperlink ref="E27:G27" location="Sommaire!A1" display="Sommaire!A1"/>
    <hyperlink ref="A27" location="'e32'!A1" display="'e32'!A1"/>
    <hyperlink ref="J27" location="'e34'!A1" display="'e34'!A1"/>
  </hyperlinks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90</v>
      </c>
      <c r="F3" s="7"/>
    </row>
    <row r="5" spans="1:7" ht="12.75">
      <c r="A5" s="8" t="s">
        <v>76</v>
      </c>
      <c r="B5" s="9" t="s">
        <v>91</v>
      </c>
      <c r="C5" s="10" t="s">
        <v>63</v>
      </c>
      <c r="D5" s="9">
        <v>19</v>
      </c>
      <c r="E5" s="11" t="s">
        <v>64</v>
      </c>
      <c r="F5" s="11"/>
      <c r="G5" s="11"/>
    </row>
    <row r="6" spans="1:7" ht="12.75">
      <c r="A6" s="4"/>
      <c r="B6" s="9" t="s">
        <v>92</v>
      </c>
      <c r="C6" s="10" t="s">
        <v>63</v>
      </c>
      <c r="D6" s="9">
        <v>55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1" spans="2:7" ht="12.75">
      <c r="B11" s="11" t="str">
        <f>B5</f>
        <v>IK</v>
      </c>
      <c r="C11" s="11" t="s">
        <v>66</v>
      </c>
      <c r="D11" s="3"/>
      <c r="E11" s="2">
        <f>IF(D11="","",IF(D11="adjacent",TRUE,FALSE))</f>
      </c>
      <c r="F11" s="4"/>
      <c r="G11" s="4"/>
    </row>
    <row r="12" spans="2:7" ht="12.75">
      <c r="B12" s="11" t="str">
        <f>E3</f>
        <v>IJ</v>
      </c>
      <c r="C12" s="11" t="s">
        <v>66</v>
      </c>
      <c r="D12" s="3"/>
      <c r="E12" s="2">
        <f>IF(D12="","",IF(D12="hypoténuse",TRUE,FALSE))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/>
      <c r="I14" s="2">
        <f>IF(H14="","",IF(H14="cos",TRUE,FALSE))</f>
      </c>
    </row>
    <row r="16" spans="5:9" ht="13.5" thickBot="1">
      <c r="E16" s="61">
        <f>IF(H14="","",H14)</f>
      </c>
      <c r="F16" s="61">
        <f>D6</f>
        <v>55</v>
      </c>
      <c r="G16" s="61" t="s">
        <v>63</v>
      </c>
      <c r="H16" s="25"/>
      <c r="I16" s="55">
        <f>IF(OR(H16="",H17=""),"",IF(AND(OR(H16="IK",H16="KI"),OR(H17="IJ",H17="JI")),TRUE,FALSE))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0.574</v>
      </c>
      <c r="F19" s="63"/>
      <c r="G19" s="61" t="s">
        <v>63</v>
      </c>
      <c r="H19" s="25"/>
      <c r="I19" s="55">
        <f>IF(OR(H19="",H20=""),"",IF(AND(H20=H17,H19=19,E19=ROUND(COS(D6*3.14159/180),3)),TRUE,FALSE))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IJ</v>
      </c>
      <c r="G22" s="8" t="s">
        <v>63</v>
      </c>
      <c r="H22" s="3"/>
      <c r="I22" s="2">
        <f>IF(H22="","",IF(H22=33.1,TRUE,FALSE))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IJ</v>
      </c>
      <c r="F24" s="8" t="s">
        <v>85</v>
      </c>
      <c r="G24" s="8"/>
      <c r="H24" s="62"/>
      <c r="I24" s="62"/>
      <c r="J24" s="2">
        <f>IF(H24="","",IF(H24="33,1cm",TRUE,FALSE))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E16:E17"/>
    <mergeCell ref="F16:F17"/>
    <mergeCell ref="G16:G17"/>
    <mergeCell ref="I16:I17"/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</mergeCells>
  <hyperlinks>
    <hyperlink ref="E27:G27" location="Sommaire!A1" display="Sommaire!A1"/>
    <hyperlink ref="A27" location="'e33'!A1" display="'e33'!A1"/>
    <hyperlink ref="J27" location="'e35'!A1" display="'e35'!A1"/>
  </hyperlinks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79</v>
      </c>
      <c r="E3" s="7" t="s">
        <v>94</v>
      </c>
      <c r="F3" s="7"/>
    </row>
    <row r="5" spans="1:7" ht="12.75">
      <c r="A5" s="8" t="s">
        <v>76</v>
      </c>
      <c r="B5" s="9" t="s">
        <v>93</v>
      </c>
      <c r="C5" s="10" t="s">
        <v>63</v>
      </c>
      <c r="D5" s="9">
        <v>33</v>
      </c>
      <c r="E5" s="11" t="s">
        <v>86</v>
      </c>
      <c r="F5" s="11"/>
      <c r="G5" s="11"/>
    </row>
    <row r="6" spans="1:7" ht="12.75">
      <c r="A6" s="4"/>
      <c r="B6" s="9" t="s">
        <v>95</v>
      </c>
      <c r="C6" s="10" t="s">
        <v>63</v>
      </c>
      <c r="D6" s="9">
        <v>40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>
      <c r="E10" s="27"/>
    </row>
    <row r="11" spans="2:7" ht="12.75">
      <c r="B11" s="11" t="str">
        <f>B5</f>
        <v>a</v>
      </c>
      <c r="C11" s="11" t="s">
        <v>66</v>
      </c>
      <c r="D11" s="3"/>
      <c r="E11" s="2">
        <f>IF(D11="","",IF(D11="opposé",TRUE,FALSE))</f>
      </c>
      <c r="F11" s="4"/>
      <c r="G11" s="4"/>
    </row>
    <row r="12" spans="2:7" ht="12.75">
      <c r="B12" s="11" t="str">
        <f>E3</f>
        <v>c</v>
      </c>
      <c r="C12" s="11" t="s">
        <v>66</v>
      </c>
      <c r="D12" s="3"/>
      <c r="E12" s="2">
        <f>IF(D12="","",IF(D12="hypoténuse",TRUE,FALSE))</f>
      </c>
      <c r="F12" s="4"/>
      <c r="G12" s="4"/>
    </row>
    <row r="14" spans="1:9" ht="12.75">
      <c r="A14" s="8" t="s">
        <v>67</v>
      </c>
      <c r="B14" s="8"/>
      <c r="C14" s="8"/>
      <c r="D14" s="8"/>
      <c r="E14" s="8"/>
      <c r="F14" s="8"/>
      <c r="G14" s="8"/>
      <c r="H14" s="3"/>
      <c r="I14" s="2">
        <f>IF(H14="","",IF(H14="sin",TRUE,FALSE))</f>
      </c>
    </row>
    <row r="16" spans="5:9" ht="13.5" thickBot="1">
      <c r="E16" s="61">
        <f>IF(H14="","",H14)</f>
      </c>
      <c r="F16" s="61">
        <f>D6</f>
        <v>40</v>
      </c>
      <c r="G16" s="61" t="s">
        <v>63</v>
      </c>
      <c r="H16" s="25"/>
      <c r="I16" s="55">
        <f>IF(OR(H16="",H17=""),"",IF(AND(OR(H16="a",H16="a"),OR(H17="c",H17="c")),TRUE,FALSE))</f>
      </c>
    </row>
    <row r="17" spans="5:9" ht="12.75">
      <c r="E17" s="61"/>
      <c r="F17" s="61"/>
      <c r="G17" s="61"/>
      <c r="H17" s="3"/>
      <c r="I17" s="55"/>
    </row>
    <row r="19" spans="2:10" ht="13.5" thickBot="1">
      <c r="B19" s="59" t="s">
        <v>69</v>
      </c>
      <c r="C19" s="59"/>
      <c r="D19" s="59"/>
      <c r="E19" s="63">
        <v>0.766</v>
      </c>
      <c r="F19" s="63"/>
      <c r="G19" s="61" t="s">
        <v>63</v>
      </c>
      <c r="H19" s="25"/>
      <c r="I19" s="55">
        <f>IF(OR(H19="",H20=""),"",IF(AND(H20=H17,H19=33,E19=ROUND(SIN(D6*3.14159/180),3)),TRUE,FALSE))</f>
      </c>
      <c r="J19" s="56"/>
    </row>
    <row r="20" spans="2:10" ht="12.75">
      <c r="B20" s="59"/>
      <c r="C20" s="59"/>
      <c r="D20" s="59"/>
      <c r="E20" s="63"/>
      <c r="F20" s="63"/>
      <c r="G20" s="61"/>
      <c r="H20" s="3"/>
      <c r="I20" s="55"/>
      <c r="J20" s="56"/>
    </row>
    <row r="22" spans="4:11" ht="12.75">
      <c r="D22" s="16" t="s">
        <v>70</v>
      </c>
      <c r="F22" s="11" t="str">
        <f>E3</f>
        <v>c</v>
      </c>
      <c r="G22" s="8" t="s">
        <v>63</v>
      </c>
      <c r="H22" s="3"/>
      <c r="I22" s="2">
        <f>IF(H22="","",IF(H22=51.3,TRUE,FALSE))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E3</f>
        <v>c</v>
      </c>
      <c r="F24" s="8" t="s">
        <v>85</v>
      </c>
      <c r="G24" s="8"/>
      <c r="H24" s="62"/>
      <c r="I24" s="62"/>
      <c r="J24" s="2">
        <f>IF(H24="","",IF(H24="51,3mm",TRUE,FALSE))</f>
      </c>
    </row>
    <row r="25" spans="6:10" ht="12.75">
      <c r="F25" s="57" t="s">
        <v>89</v>
      </c>
      <c r="G25" s="57"/>
      <c r="H25" s="57"/>
      <c r="I25" s="57"/>
      <c r="J25" s="57"/>
    </row>
    <row r="27" spans="1:10" s="43" customFormat="1" ht="12.75">
      <c r="A27" s="40" t="s">
        <v>161</v>
      </c>
      <c r="B27" s="42"/>
      <c r="E27" s="44" t="s">
        <v>160</v>
      </c>
      <c r="G27" s="40"/>
      <c r="J27" s="40" t="s">
        <v>162</v>
      </c>
    </row>
  </sheetData>
  <sheetProtection password="DCC5" sheet="1" objects="1" scenarios="1"/>
  <mergeCells count="13">
    <mergeCell ref="E16:E17"/>
    <mergeCell ref="F16:F17"/>
    <mergeCell ref="G16:G17"/>
    <mergeCell ref="I16:I17"/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</mergeCells>
  <hyperlinks>
    <hyperlink ref="E27:G27" location="Sommaire!A1" display="Sommaire!A1"/>
    <hyperlink ref="A27" location="'e34'!A1" display="'e34'!A1"/>
    <hyperlink ref="J27" location="'e40'!A1" display="'e40'!A1"/>
  </hyperlinks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11" sqref="E1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112</v>
      </c>
      <c r="E3" s="7"/>
      <c r="F3" s="7"/>
    </row>
    <row r="4" ht="12.75"/>
    <row r="5" spans="1:7" ht="12.75">
      <c r="A5" s="8" t="s">
        <v>76</v>
      </c>
      <c r="B5" s="9" t="s">
        <v>7</v>
      </c>
      <c r="C5" s="10" t="s">
        <v>63</v>
      </c>
      <c r="D5" s="9">
        <v>64</v>
      </c>
      <c r="E5" s="11" t="s">
        <v>64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35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/>
    <row r="11" spans="2:7" ht="12.75">
      <c r="B11" s="11" t="str">
        <f>B5</f>
        <v>AB</v>
      </c>
      <c r="C11" s="11" t="s">
        <v>66</v>
      </c>
      <c r="D11" s="3"/>
      <c r="E11" s="2">
        <f>IF(D11="","",IF(D11="hypoténuse",TRUE,FALSE))</f>
      </c>
      <c r="F11" s="4"/>
      <c r="G11" s="4"/>
    </row>
    <row r="12" spans="2:7" ht="12.75">
      <c r="B12" s="11" t="s">
        <v>8</v>
      </c>
      <c r="C12" s="11" t="s">
        <v>66</v>
      </c>
      <c r="D12" s="3"/>
      <c r="E12" s="2">
        <f>IF(D12="","",IF(D12="adjacent",TRUE,FALSE))</f>
      </c>
      <c r="F12" s="4"/>
      <c r="G12" s="4"/>
    </row>
    <row r="14" spans="1:9" ht="12.75" hidden="1">
      <c r="A14" s="8" t="s">
        <v>67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61">
        <f>IF(H14="","",H14)</f>
      </c>
      <c r="F16" s="61">
        <f>D6</f>
        <v>35</v>
      </c>
      <c r="G16" s="61" t="s">
        <v>63</v>
      </c>
      <c r="H16" s="15"/>
      <c r="I16" s="55">
        <f>IF(OR(H16="",H17=""),"",IF(AND(OR(H16="AC",H16="CA"),OR(H17="AB",H17="BA")),TRUE,FALSE))</f>
      </c>
    </row>
    <row r="17" spans="5:9" ht="12.75" hidden="1">
      <c r="E17" s="61"/>
      <c r="F17" s="61"/>
      <c r="G17" s="61"/>
      <c r="H17" s="13"/>
      <c r="I17" s="55"/>
    </row>
    <row r="18" ht="12.75" hidden="1"/>
    <row r="19" spans="2:10" ht="13.5" hidden="1" thickBot="1">
      <c r="B19" s="59" t="s">
        <v>69</v>
      </c>
      <c r="C19" s="59"/>
      <c r="D19" s="59"/>
      <c r="E19" s="60"/>
      <c r="F19" s="60"/>
      <c r="G19" s="61" t="s">
        <v>63</v>
      </c>
      <c r="H19" s="15"/>
      <c r="I19" s="55">
        <f>IF(OR(H19="",H20=""),"",IF(AND(H19=H16,H20=15,E19=ROUND(COS(D6*3.14159/180),3)),TRUE,FALSE))</f>
      </c>
      <c r="J19" s="56"/>
    </row>
    <row r="20" spans="2:10" ht="12.75" hidden="1">
      <c r="B20" s="59"/>
      <c r="C20" s="59"/>
      <c r="D20" s="59"/>
      <c r="E20" s="60"/>
      <c r="F20" s="60"/>
      <c r="G20" s="61"/>
      <c r="H20" s="13"/>
      <c r="I20" s="55"/>
      <c r="J20" s="56"/>
    </row>
    <row r="22" spans="4:11" ht="12.75">
      <c r="D22" s="16" t="s">
        <v>70</v>
      </c>
      <c r="F22" s="11" t="str">
        <f>B12</f>
        <v>AC</v>
      </c>
      <c r="G22" s="8" t="s">
        <v>63</v>
      </c>
      <c r="H22" s="3"/>
      <c r="I22" s="2">
        <f>IF(H22="","",IF(H22=52.4,TRUE,FALSE))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F22</f>
        <v>AC</v>
      </c>
      <c r="F24" s="8" t="s">
        <v>85</v>
      </c>
      <c r="G24" s="8"/>
      <c r="H24" s="62"/>
      <c r="I24" s="62"/>
      <c r="J24" s="2">
        <f>IF(H24="","",IF(H24="52,4cm",TRUE,FALSE))</f>
      </c>
    </row>
    <row r="25" spans="6:11" ht="12.75">
      <c r="F25" s="64" t="s">
        <v>89</v>
      </c>
      <c r="G25" s="64"/>
      <c r="H25" s="64"/>
      <c r="I25" s="64"/>
      <c r="J25" s="64"/>
      <c r="K25" s="30"/>
    </row>
    <row r="27" spans="4:11" ht="12.75">
      <c r="D27" s="16" t="s">
        <v>70</v>
      </c>
      <c r="F27" s="11" t="s">
        <v>73</v>
      </c>
      <c r="G27" s="8" t="s">
        <v>63</v>
      </c>
      <c r="H27" s="3"/>
      <c r="I27" s="2">
        <f>IF(H27="","",IF(H27=36.7,TRUE,FALSE))</f>
      </c>
      <c r="J27" s="57" t="s">
        <v>82</v>
      </c>
      <c r="K27" s="57"/>
    </row>
    <row r="29" spans="1:10" ht="12.75">
      <c r="A29" s="6" t="s">
        <v>83</v>
      </c>
      <c r="B29" s="58" t="s">
        <v>84</v>
      </c>
      <c r="C29" s="58"/>
      <c r="D29" s="58"/>
      <c r="E29" s="10" t="str">
        <f>F27</f>
        <v>BC</v>
      </c>
      <c r="F29" s="8" t="s">
        <v>85</v>
      </c>
      <c r="G29" s="8"/>
      <c r="H29" s="62"/>
      <c r="I29" s="62"/>
      <c r="J29" s="2">
        <f>IF(H29="","",IF(H29="36,7cm",TRUE,FALSE))</f>
      </c>
    </row>
    <row r="30" spans="6:11" ht="12.75">
      <c r="F30" s="64" t="s">
        <v>89</v>
      </c>
      <c r="G30" s="64"/>
      <c r="H30" s="64"/>
      <c r="I30" s="64"/>
      <c r="J30" s="64"/>
      <c r="K30" s="30"/>
    </row>
    <row r="32" spans="1:10" s="43" customFormat="1" ht="12.75">
      <c r="A32" s="40" t="s">
        <v>161</v>
      </c>
      <c r="B32" s="42"/>
      <c r="E32" s="44" t="s">
        <v>160</v>
      </c>
      <c r="G32" s="40"/>
      <c r="J32" s="40" t="s">
        <v>162</v>
      </c>
    </row>
  </sheetData>
  <sheetProtection password="DCC5" sheet="1" objects="1" scenarios="1"/>
  <mergeCells count="17">
    <mergeCell ref="E16:E17"/>
    <mergeCell ref="F16:F17"/>
    <mergeCell ref="G16:G17"/>
    <mergeCell ref="I16:I17"/>
    <mergeCell ref="F25:J25"/>
    <mergeCell ref="J19:J20"/>
    <mergeCell ref="J22:K22"/>
    <mergeCell ref="B24:D24"/>
    <mergeCell ref="H24:I24"/>
    <mergeCell ref="B19:D20"/>
    <mergeCell ref="E19:F20"/>
    <mergeCell ref="G19:G20"/>
    <mergeCell ref="I19:I20"/>
    <mergeCell ref="J27:K27"/>
    <mergeCell ref="B29:D29"/>
    <mergeCell ref="H29:I29"/>
    <mergeCell ref="F30:J30"/>
  </mergeCells>
  <hyperlinks>
    <hyperlink ref="E32:G32" location="Sommaire!A1" display="Sommaire!A1"/>
    <hyperlink ref="A32" location="'e35'!A1" display="'e35'!A1"/>
    <hyperlink ref="J32" location="'e41'!A1" display="'e41'!A1"/>
  </hyperlinks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2" ht="12.75">
      <c r="A2" s="27"/>
    </row>
    <row r="3" spans="1:6" ht="12.75">
      <c r="A3" s="6" t="s">
        <v>112</v>
      </c>
      <c r="E3" s="7"/>
      <c r="F3" s="7"/>
    </row>
    <row r="4" ht="12.75"/>
    <row r="5" spans="1:7" ht="12.75">
      <c r="A5" s="8" t="s">
        <v>76</v>
      </c>
      <c r="B5" s="9" t="s">
        <v>8</v>
      </c>
      <c r="C5" s="10" t="s">
        <v>63</v>
      </c>
      <c r="D5" s="9">
        <v>21</v>
      </c>
      <c r="E5" s="11" t="s">
        <v>86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40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/>
    <row r="11" spans="2:7" ht="12.75">
      <c r="B11" s="11" t="str">
        <f>B5</f>
        <v>AC</v>
      </c>
      <c r="C11" s="11" t="s">
        <v>66</v>
      </c>
      <c r="D11" s="3"/>
      <c r="E11" s="2">
        <f>IF(D11="","",IF(D11="adjacent",TRUE,FALSE))</f>
      </c>
      <c r="F11" s="4"/>
      <c r="G11" s="4"/>
    </row>
    <row r="12" spans="2:7" ht="12.75">
      <c r="B12" s="11" t="s">
        <v>7</v>
      </c>
      <c r="C12" s="11" t="s">
        <v>66</v>
      </c>
      <c r="D12" s="3"/>
      <c r="E12" s="2">
        <f>IF(D12="","",IF(D12="hypoténuse",TRUE,FALSE))</f>
      </c>
      <c r="F12" s="4"/>
      <c r="G12" s="4"/>
    </row>
    <row r="14" spans="1:9" ht="12.75" hidden="1">
      <c r="A14" s="8" t="s">
        <v>67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61">
        <f>IF(H14="","",H14)</f>
      </c>
      <c r="F16" s="61">
        <f>D6</f>
        <v>40</v>
      </c>
      <c r="G16" s="61" t="s">
        <v>63</v>
      </c>
      <c r="H16" s="15"/>
      <c r="I16" s="55">
        <f>IF(OR(H16="",H17=""),"",IF(AND(OR(H16="AC",H16="CA"),OR(H17="AB",H17="BA")),TRUE,FALSE))</f>
      </c>
    </row>
    <row r="17" spans="5:9" ht="12.75" hidden="1">
      <c r="E17" s="61"/>
      <c r="F17" s="61"/>
      <c r="G17" s="61"/>
      <c r="H17" s="13"/>
      <c r="I17" s="55"/>
    </row>
    <row r="18" ht="12.75" hidden="1"/>
    <row r="19" spans="2:10" ht="13.5" hidden="1" thickBot="1">
      <c r="B19" s="59" t="s">
        <v>69</v>
      </c>
      <c r="C19" s="59"/>
      <c r="D19" s="59"/>
      <c r="E19" s="60"/>
      <c r="F19" s="60"/>
      <c r="G19" s="61" t="s">
        <v>63</v>
      </c>
      <c r="H19" s="15"/>
      <c r="I19" s="55">
        <f>IF(OR(H19="",H20=""),"",IF(AND(H19=H16,H20=15,E19=ROUND(COS(D6*3.14159/180),3)),TRUE,FALSE))</f>
      </c>
      <c r="J19" s="56"/>
    </row>
    <row r="20" spans="2:10" ht="12.75" hidden="1">
      <c r="B20" s="59"/>
      <c r="C20" s="59"/>
      <c r="D20" s="59"/>
      <c r="E20" s="60"/>
      <c r="F20" s="60"/>
      <c r="G20" s="61"/>
      <c r="H20" s="13"/>
      <c r="I20" s="55"/>
      <c r="J20" s="56"/>
    </row>
    <row r="22" spans="4:11" ht="12.75">
      <c r="D22" s="16" t="s">
        <v>70</v>
      </c>
      <c r="F22" s="11" t="str">
        <f>B12</f>
        <v>AB</v>
      </c>
      <c r="G22" s="8" t="s">
        <v>63</v>
      </c>
      <c r="H22" s="3"/>
      <c r="I22" s="2">
        <f>IF(H22="","",IF(H22=27.4,TRUE,FALSE))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F22</f>
        <v>AB</v>
      </c>
      <c r="F24" s="8" t="s">
        <v>85</v>
      </c>
      <c r="G24" s="8"/>
      <c r="H24" s="62"/>
      <c r="I24" s="62"/>
      <c r="J24" s="2">
        <f>IF(H24="","",IF(H24="27,4mm",TRUE,FALSE))</f>
      </c>
    </row>
    <row r="25" spans="6:11" ht="12.75">
      <c r="F25" s="64" t="s">
        <v>89</v>
      </c>
      <c r="G25" s="64"/>
      <c r="H25" s="64"/>
      <c r="I25" s="64"/>
      <c r="J25" s="64"/>
      <c r="K25" s="30"/>
    </row>
    <row r="27" spans="4:11" ht="12.75">
      <c r="D27" s="16" t="s">
        <v>70</v>
      </c>
      <c r="F27" s="11" t="s">
        <v>73</v>
      </c>
      <c r="G27" s="8" t="s">
        <v>63</v>
      </c>
      <c r="H27" s="3"/>
      <c r="I27" s="2">
        <f>IF(H27="","",IF(H27=17.6,TRUE,FALSE))</f>
      </c>
      <c r="J27" s="57" t="s">
        <v>82</v>
      </c>
      <c r="K27" s="57"/>
    </row>
    <row r="29" spans="1:10" ht="12.75">
      <c r="A29" s="6" t="s">
        <v>83</v>
      </c>
      <c r="B29" s="58" t="s">
        <v>84</v>
      </c>
      <c r="C29" s="58"/>
      <c r="D29" s="58"/>
      <c r="E29" s="10" t="str">
        <f>F27</f>
        <v>BC</v>
      </c>
      <c r="F29" s="8" t="s">
        <v>85</v>
      </c>
      <c r="G29" s="8"/>
      <c r="H29" s="62"/>
      <c r="I29" s="62"/>
      <c r="J29" s="2">
        <f>IF(H29="","",IF(H29="17,6mm",TRUE,FALSE))</f>
      </c>
    </row>
    <row r="30" spans="6:11" ht="12.75">
      <c r="F30" s="64" t="s">
        <v>89</v>
      </c>
      <c r="G30" s="64"/>
      <c r="H30" s="64"/>
      <c r="I30" s="64"/>
      <c r="J30" s="64"/>
      <c r="K30" s="30"/>
    </row>
    <row r="32" spans="1:10" s="43" customFormat="1" ht="12.75">
      <c r="A32" s="40" t="s">
        <v>161</v>
      </c>
      <c r="B32" s="42"/>
      <c r="E32" s="44" t="s">
        <v>160</v>
      </c>
      <c r="G32" s="40"/>
      <c r="J32" s="40" t="s">
        <v>162</v>
      </c>
    </row>
  </sheetData>
  <sheetProtection password="DCC5" sheet="1" objects="1" scenarios="1"/>
  <mergeCells count="17">
    <mergeCell ref="B24:D24"/>
    <mergeCell ref="H24:I24"/>
    <mergeCell ref="B19:D20"/>
    <mergeCell ref="F25:J25"/>
    <mergeCell ref="E19:F20"/>
    <mergeCell ref="G19:G20"/>
    <mergeCell ref="I19:I20"/>
    <mergeCell ref="J19:J20"/>
    <mergeCell ref="J22:K22"/>
    <mergeCell ref="J27:K27"/>
    <mergeCell ref="B29:D29"/>
    <mergeCell ref="H29:I29"/>
    <mergeCell ref="F30:J30"/>
    <mergeCell ref="E16:E17"/>
    <mergeCell ref="F16:F17"/>
    <mergeCell ref="G16:G17"/>
    <mergeCell ref="I16:I17"/>
  </mergeCells>
  <hyperlinks>
    <hyperlink ref="E32:G32" location="Sommaire!A1" display="Sommaire!A1"/>
    <hyperlink ref="A32" location="'e40'!A1" display="'e40'!A1"/>
    <hyperlink ref="J32" location="'e42'!A1" display="'e42'!A1"/>
  </hyperlinks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75</v>
      </c>
    </row>
    <row r="3" spans="1:6" ht="12.75">
      <c r="A3" s="6" t="s">
        <v>112</v>
      </c>
      <c r="E3" s="7"/>
      <c r="F3" s="7"/>
    </row>
    <row r="4" ht="12.75"/>
    <row r="5" spans="1:7" ht="12.75">
      <c r="A5" s="8" t="s">
        <v>76</v>
      </c>
      <c r="B5" s="9" t="s">
        <v>7</v>
      </c>
      <c r="C5" s="10" t="s">
        <v>63</v>
      </c>
      <c r="D5" s="9">
        <v>79</v>
      </c>
      <c r="E5" s="11" t="s">
        <v>88</v>
      </c>
      <c r="F5" s="11"/>
      <c r="G5" s="11"/>
    </row>
    <row r="6" spans="1:7" ht="12.75">
      <c r="A6" s="4"/>
      <c r="B6" s="9" t="s">
        <v>77</v>
      </c>
      <c r="C6" s="10" t="s">
        <v>63</v>
      </c>
      <c r="D6" s="9">
        <v>45</v>
      </c>
      <c r="E6" s="11" t="s">
        <v>78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65</v>
      </c>
      <c r="B8" s="8"/>
      <c r="C8" s="8"/>
      <c r="D8" s="8"/>
      <c r="E8" s="8"/>
      <c r="F8" s="8"/>
      <c r="G8" s="8"/>
      <c r="H8" s="8"/>
    </row>
    <row r="9" ht="12.75">
      <c r="A9" s="8" t="s">
        <v>62</v>
      </c>
    </row>
    <row r="10" ht="12.75"/>
    <row r="11" spans="2:7" ht="12.75">
      <c r="B11" s="11" t="str">
        <f>B5</f>
        <v>AB</v>
      </c>
      <c r="C11" s="11" t="s">
        <v>66</v>
      </c>
      <c r="D11" s="3"/>
      <c r="E11" s="2">
        <f>IF(D11="","",IF(D11="hypoténuse",TRUE,FALSE))</f>
      </c>
      <c r="F11" s="4"/>
      <c r="G11" s="4"/>
    </row>
    <row r="12" spans="2:7" ht="12.75">
      <c r="B12" s="11" t="s">
        <v>8</v>
      </c>
      <c r="C12" s="11" t="s">
        <v>66</v>
      </c>
      <c r="D12" s="3"/>
      <c r="E12" s="2">
        <f>IF(D12="","",IF(D12="opposé",TRUE,FALSE))</f>
      </c>
      <c r="F12" s="4"/>
      <c r="G12" s="4"/>
    </row>
    <row r="14" spans="1:9" ht="12.75" hidden="1">
      <c r="A14" s="8" t="s">
        <v>67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61">
        <f>IF(H14="","",H14)</f>
      </c>
      <c r="F16" s="61">
        <f>D6</f>
        <v>45</v>
      </c>
      <c r="G16" s="61" t="s">
        <v>63</v>
      </c>
      <c r="H16" s="15"/>
      <c r="I16" s="55">
        <f>IF(OR(H16="",H17=""),"",IF(AND(OR(H16="AC",H16="CA"),OR(H17="AB",H17="BA")),TRUE,FALSE))</f>
      </c>
    </row>
    <row r="17" spans="5:9" ht="12.75" hidden="1">
      <c r="E17" s="61"/>
      <c r="F17" s="61"/>
      <c r="G17" s="61"/>
      <c r="H17" s="13"/>
      <c r="I17" s="55"/>
    </row>
    <row r="18" ht="12.75" hidden="1"/>
    <row r="19" spans="2:10" ht="13.5" hidden="1" thickBot="1">
      <c r="B19" s="59" t="s">
        <v>69</v>
      </c>
      <c r="C19" s="59"/>
      <c r="D19" s="59"/>
      <c r="E19" s="60"/>
      <c r="F19" s="60"/>
      <c r="G19" s="61" t="s">
        <v>63</v>
      </c>
      <c r="H19" s="15"/>
      <c r="I19" s="55">
        <f>IF(OR(H19="",H20=""),"",IF(AND(H19=H16,H20=15,E19=ROUND(COS(D6*3.14159/180),3)),TRUE,FALSE))</f>
      </c>
      <c r="J19" s="56"/>
    </row>
    <row r="20" spans="2:10" ht="12.75" hidden="1">
      <c r="B20" s="59"/>
      <c r="C20" s="59"/>
      <c r="D20" s="59"/>
      <c r="E20" s="60"/>
      <c r="F20" s="60"/>
      <c r="G20" s="61"/>
      <c r="H20" s="13"/>
      <c r="I20" s="55"/>
      <c r="J20" s="56"/>
    </row>
    <row r="22" spans="4:11" ht="12.75">
      <c r="D22" s="16" t="s">
        <v>70</v>
      </c>
      <c r="F22" s="11" t="str">
        <f>B12</f>
        <v>AC</v>
      </c>
      <c r="G22" s="8" t="s">
        <v>63</v>
      </c>
      <c r="H22" s="3"/>
      <c r="I22" s="2">
        <f>IF(H22="","",IF(H22=55.9,TRUE,FALSE))</f>
      </c>
      <c r="J22" s="57" t="s">
        <v>82</v>
      </c>
      <c r="K22" s="57"/>
    </row>
    <row r="24" spans="1:10" ht="12.75">
      <c r="A24" s="6" t="s">
        <v>83</v>
      </c>
      <c r="B24" s="58" t="s">
        <v>84</v>
      </c>
      <c r="C24" s="58"/>
      <c r="D24" s="58"/>
      <c r="E24" s="10" t="str">
        <f>F22</f>
        <v>AC</v>
      </c>
      <c r="F24" s="8" t="s">
        <v>85</v>
      </c>
      <c r="G24" s="8"/>
      <c r="H24" s="62"/>
      <c r="I24" s="62"/>
      <c r="J24" s="2">
        <f>IF(H24="","",IF(H24="55,9m",TRUE,FALSE))</f>
      </c>
    </row>
    <row r="25" spans="6:11" ht="12.75">
      <c r="F25" s="64" t="s">
        <v>89</v>
      </c>
      <c r="G25" s="64"/>
      <c r="H25" s="64"/>
      <c r="I25" s="64"/>
      <c r="J25" s="64"/>
      <c r="K25" s="30"/>
    </row>
    <row r="27" spans="4:11" ht="12.75">
      <c r="D27" s="16" t="s">
        <v>70</v>
      </c>
      <c r="F27" s="11" t="s">
        <v>73</v>
      </c>
      <c r="G27" s="8" t="s">
        <v>63</v>
      </c>
      <c r="H27" s="3"/>
      <c r="I27" s="2">
        <f>IF(H27="","",IF(OR(H27=55.8,H27=55.9),TRUE,FALSE))</f>
      </c>
      <c r="J27" s="57" t="s">
        <v>82</v>
      </c>
      <c r="K27" s="57"/>
    </row>
    <row r="29" spans="1:10" ht="12.75">
      <c r="A29" s="6" t="s">
        <v>83</v>
      </c>
      <c r="B29" s="58" t="s">
        <v>84</v>
      </c>
      <c r="C29" s="58"/>
      <c r="D29" s="58"/>
      <c r="E29" s="10" t="str">
        <f>F27</f>
        <v>BC</v>
      </c>
      <c r="F29" s="8" t="s">
        <v>85</v>
      </c>
      <c r="G29" s="8"/>
      <c r="H29" s="62"/>
      <c r="I29" s="62"/>
      <c r="J29" s="2">
        <f>IF(H29="","",IF(H29="55,8m",TRUE,FALSE))</f>
      </c>
    </row>
    <row r="30" spans="6:11" ht="12.75">
      <c r="F30" s="64" t="s">
        <v>89</v>
      </c>
      <c r="G30" s="64"/>
      <c r="H30" s="64"/>
      <c r="I30" s="64"/>
      <c r="J30" s="64"/>
      <c r="K30" s="30"/>
    </row>
    <row r="32" spans="1:10" s="43" customFormat="1" ht="12.75">
      <c r="A32" s="40" t="s">
        <v>161</v>
      </c>
      <c r="B32" s="42"/>
      <c r="E32" s="44" t="s">
        <v>160</v>
      </c>
      <c r="G32" s="40"/>
      <c r="J32" s="40" t="s">
        <v>162</v>
      </c>
    </row>
  </sheetData>
  <sheetProtection password="DCC5" sheet="1" objects="1" scenarios="1"/>
  <mergeCells count="17">
    <mergeCell ref="E16:E17"/>
    <mergeCell ref="F16:F17"/>
    <mergeCell ref="G16:G17"/>
    <mergeCell ref="I16:I17"/>
    <mergeCell ref="J19:J20"/>
    <mergeCell ref="J22:K22"/>
    <mergeCell ref="B24:D24"/>
    <mergeCell ref="H24:I24"/>
    <mergeCell ref="B19:D20"/>
    <mergeCell ref="E19:F20"/>
    <mergeCell ref="G19:G20"/>
    <mergeCell ref="I19:I20"/>
    <mergeCell ref="F30:J30"/>
    <mergeCell ref="F25:J25"/>
    <mergeCell ref="J27:K27"/>
    <mergeCell ref="B29:D29"/>
    <mergeCell ref="H29:I29"/>
  </mergeCells>
  <hyperlinks>
    <hyperlink ref="E32:G32" location="Sommaire!A1" display="Sommaire!A1"/>
    <hyperlink ref="A32" location="'e41'!A1" display="'e41'!A1"/>
    <hyperlink ref="J32" location="'e50'!A1" display="'e50'!A1"/>
  </hyperlinks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4">
      <selection activeCell="B12" sqref="B12"/>
    </sheetView>
  </sheetViews>
  <sheetFormatPr defaultColWidth="11.421875" defaultRowHeight="12.75"/>
  <cols>
    <col min="1" max="1" width="11.57421875" style="1" customWidth="1"/>
    <col min="2" max="16384" width="11.421875" style="1" customWidth="1"/>
  </cols>
  <sheetData>
    <row r="1" s="5" customFormat="1" ht="12.75">
      <c r="A1" s="5" t="s">
        <v>103</v>
      </c>
    </row>
    <row r="2" s="18" customFormat="1" ht="12.75">
      <c r="A2" s="5" t="s">
        <v>102</v>
      </c>
    </row>
    <row r="3" s="18" customFormat="1" ht="12.75">
      <c r="A3" s="5" t="s">
        <v>108</v>
      </c>
    </row>
    <row r="4" s="4" customFormat="1" ht="12.75">
      <c r="A4" s="28"/>
    </row>
    <row r="5" spans="1:7" ht="12.75">
      <c r="A5" s="22" t="s">
        <v>100</v>
      </c>
      <c r="B5" s="22" t="s">
        <v>7</v>
      </c>
      <c r="C5" s="22" t="s">
        <v>8</v>
      </c>
      <c r="D5" s="22" t="s">
        <v>73</v>
      </c>
      <c r="E5" s="22" t="s">
        <v>104</v>
      </c>
      <c r="F5" s="22" t="s">
        <v>105</v>
      </c>
      <c r="G5" s="22" t="s">
        <v>106</v>
      </c>
    </row>
    <row r="6" spans="1:7" ht="12.75">
      <c r="A6" s="22" t="s">
        <v>101</v>
      </c>
      <c r="B6" s="23"/>
      <c r="C6" s="29">
        <v>4</v>
      </c>
      <c r="D6" s="29">
        <v>5</v>
      </c>
      <c r="E6" s="29" t="s">
        <v>107</v>
      </c>
      <c r="F6" s="23"/>
      <c r="G6" s="23"/>
    </row>
    <row r="7" spans="2:7" ht="12.75">
      <c r="B7" s="2">
        <f>IF(B6="","",IF(B6=3,TRUE,FALSE))</f>
      </c>
      <c r="C7" s="4" t="s">
        <v>87</v>
      </c>
      <c r="D7" s="4" t="s">
        <v>87</v>
      </c>
      <c r="E7" s="4" t="s">
        <v>87</v>
      </c>
      <c r="F7" s="2">
        <f>IF(F6="","",IF(F6=53,TRUE,FALSE))</f>
      </c>
      <c r="G7" s="2">
        <f>IF(G6="","",IF(G6=37,TRUE,FALSE))</f>
      </c>
    </row>
    <row r="8" s="4" customFormat="1" ht="12.75"/>
    <row r="10" spans="1:7" ht="12.75">
      <c r="A10" s="22" t="s">
        <v>100</v>
      </c>
      <c r="B10" s="22" t="s">
        <v>7</v>
      </c>
      <c r="C10" s="22" t="s">
        <v>8</v>
      </c>
      <c r="D10" s="22" t="s">
        <v>73</v>
      </c>
      <c r="E10" s="22" t="s">
        <v>104</v>
      </c>
      <c r="F10" s="22" t="s">
        <v>105</v>
      </c>
      <c r="G10" s="22" t="s">
        <v>106</v>
      </c>
    </row>
    <row r="11" spans="1:7" ht="12.75">
      <c r="A11" s="22" t="s">
        <v>101</v>
      </c>
      <c r="B11" s="23"/>
      <c r="C11" s="29">
        <v>10</v>
      </c>
      <c r="D11" s="29">
        <v>25</v>
      </c>
      <c r="E11" s="29" t="s">
        <v>107</v>
      </c>
      <c r="F11" s="23"/>
      <c r="G11" s="23"/>
    </row>
    <row r="12" spans="2:7" ht="12.75">
      <c r="B12" s="2">
        <f>IF(B11="","",IF(B11=23,TRUE,FALSE))</f>
      </c>
      <c r="C12" s="4" t="s">
        <v>87</v>
      </c>
      <c r="D12" s="4" t="s">
        <v>87</v>
      </c>
      <c r="E12" s="4" t="s">
        <v>87</v>
      </c>
      <c r="F12" s="2">
        <f>IF(F11="","",IF(OR(F11=24,F11=23),TRUE,FALSE))</f>
      </c>
      <c r="G12" s="2">
        <f>IF(G11="","",IF(OR(G11=66,G11=67),TRUE,FALSE))</f>
      </c>
    </row>
    <row r="13" s="4" customFormat="1" ht="12.75"/>
    <row r="15" spans="1:7" ht="12.75">
      <c r="A15" s="22" t="s">
        <v>100</v>
      </c>
      <c r="B15" s="22" t="s">
        <v>7</v>
      </c>
      <c r="C15" s="22" t="s">
        <v>8</v>
      </c>
      <c r="D15" s="22" t="s">
        <v>73</v>
      </c>
      <c r="E15" s="22" t="s">
        <v>104</v>
      </c>
      <c r="F15" s="22" t="s">
        <v>105</v>
      </c>
      <c r="G15" s="22" t="s">
        <v>106</v>
      </c>
    </row>
    <row r="16" spans="1:7" ht="12.75">
      <c r="A16" s="22" t="s">
        <v>101</v>
      </c>
      <c r="B16" s="23"/>
      <c r="C16" s="29">
        <v>12</v>
      </c>
      <c r="D16" s="29">
        <v>6</v>
      </c>
      <c r="E16" s="23"/>
      <c r="F16" s="29" t="s">
        <v>107</v>
      </c>
      <c r="G16" s="23"/>
    </row>
    <row r="17" spans="2:7" ht="12.75">
      <c r="B17" s="2">
        <f>IF(B16="","",IF(B16=10,TRUE,FALSE))</f>
      </c>
      <c r="C17" s="4" t="s">
        <v>87</v>
      </c>
      <c r="D17" s="4" t="s">
        <v>87</v>
      </c>
      <c r="E17" s="2">
        <f>IF(E16="","",IF(E16=30,TRUE,FALSE))</f>
      </c>
      <c r="F17" s="4" t="s">
        <v>87</v>
      </c>
      <c r="G17" s="2">
        <f>IF(G16="","",IF(G16=60,TRUE,FALSE))</f>
      </c>
    </row>
    <row r="18" s="4" customFormat="1" ht="12.75"/>
    <row r="20" spans="1:7" ht="12.75">
      <c r="A20" s="22" t="s">
        <v>100</v>
      </c>
      <c r="B20" s="22" t="s">
        <v>7</v>
      </c>
      <c r="C20" s="22" t="s">
        <v>8</v>
      </c>
      <c r="D20" s="22" t="s">
        <v>73</v>
      </c>
      <c r="E20" s="22" t="s">
        <v>104</v>
      </c>
      <c r="F20" s="22" t="s">
        <v>105</v>
      </c>
      <c r="G20" s="22" t="s">
        <v>106</v>
      </c>
    </row>
    <row r="21" spans="1:7" ht="12.75">
      <c r="A21" s="22" t="s">
        <v>101</v>
      </c>
      <c r="B21" s="29">
        <v>50</v>
      </c>
      <c r="C21" s="23"/>
      <c r="D21" s="29">
        <v>20</v>
      </c>
      <c r="E21" s="23"/>
      <c r="F21" s="23"/>
      <c r="G21" s="29" t="s">
        <v>107</v>
      </c>
    </row>
    <row r="22" spans="2:7" ht="12.75">
      <c r="B22" s="4" t="s">
        <v>87</v>
      </c>
      <c r="C22" s="2">
        <f>IF(C21="","",IF(C21=46,TRUE,FALSE))</f>
      </c>
      <c r="D22" s="4" t="s">
        <v>87</v>
      </c>
      <c r="E22" s="2">
        <f>IF(E21="","",IF(E21=24,TRUE,FALSE))</f>
      </c>
      <c r="F22" s="2">
        <f>IF(F21="","",IF(F21=66,TRUE,FALSE))</f>
      </c>
      <c r="G22" s="4" t="s">
        <v>87</v>
      </c>
    </row>
    <row r="24" spans="1:7" s="43" customFormat="1" ht="12.75">
      <c r="A24" s="40" t="s">
        <v>161</v>
      </c>
      <c r="B24" s="42"/>
      <c r="D24" s="44" t="s">
        <v>160</v>
      </c>
      <c r="G24" s="40" t="s">
        <v>162</v>
      </c>
    </row>
  </sheetData>
  <sheetProtection password="DCC5" sheet="1" objects="1" scenarios="1"/>
  <hyperlinks>
    <hyperlink ref="D24:G24" location="Sommaire!A1" display="Sommaire!A1"/>
    <hyperlink ref="A24" location="'e42'!A1" display="'e42'!A1"/>
    <hyperlink ref="G24" location="'e51'!A1" display="'e51'!A1"/>
  </hyperlink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7" sqref="C7"/>
    </sheetView>
  </sheetViews>
  <sheetFormatPr defaultColWidth="11.421875" defaultRowHeight="12.75"/>
  <cols>
    <col min="1" max="1" width="11.57421875" style="1" customWidth="1"/>
    <col min="2" max="16384" width="11.421875" style="1" customWidth="1"/>
  </cols>
  <sheetData>
    <row r="1" s="5" customFormat="1" ht="12.75">
      <c r="A1" s="5" t="s">
        <v>103</v>
      </c>
    </row>
    <row r="2" s="18" customFormat="1" ht="12.75">
      <c r="A2" s="5" t="s">
        <v>102</v>
      </c>
    </row>
    <row r="3" s="18" customFormat="1" ht="12.75">
      <c r="A3" s="5" t="s">
        <v>108</v>
      </c>
    </row>
    <row r="4" s="4" customFormat="1" ht="12.75">
      <c r="A4" s="28"/>
    </row>
    <row r="5" spans="1:7" ht="12.75">
      <c r="A5" s="22" t="s">
        <v>100</v>
      </c>
      <c r="B5" s="22" t="s">
        <v>7</v>
      </c>
      <c r="C5" s="22" t="s">
        <v>8</v>
      </c>
      <c r="D5" s="22" t="s">
        <v>73</v>
      </c>
      <c r="E5" s="22" t="s">
        <v>104</v>
      </c>
      <c r="F5" s="22" t="s">
        <v>105</v>
      </c>
      <c r="G5" s="22" t="s">
        <v>106</v>
      </c>
    </row>
    <row r="6" spans="1:7" ht="12.75">
      <c r="A6" s="22" t="s">
        <v>101</v>
      </c>
      <c r="B6" s="23"/>
      <c r="C6" s="23"/>
      <c r="D6" s="29">
        <v>5</v>
      </c>
      <c r="E6" s="29" t="s">
        <v>107</v>
      </c>
      <c r="F6" s="29" t="s">
        <v>109</v>
      </c>
      <c r="G6" s="23"/>
    </row>
    <row r="7" spans="2:7" ht="12.75">
      <c r="B7" s="2">
        <f>IF(B6="","",IF(B6=3,TRUE,FALSE))</f>
      </c>
      <c r="C7" s="2">
        <f>IF(C6="","",IF(C6=4,TRUE,FALSE))</f>
      </c>
      <c r="D7" s="4" t="s">
        <v>87</v>
      </c>
      <c r="E7" s="4" t="s">
        <v>87</v>
      </c>
      <c r="F7" s="4" t="s">
        <v>87</v>
      </c>
      <c r="G7" s="2">
        <f>IF(G6="","",IF(G6=37,TRUE,FALSE))</f>
      </c>
    </row>
    <row r="8" s="4" customFormat="1" ht="12.75"/>
    <row r="10" spans="1:7" ht="12.75">
      <c r="A10" s="22" t="s">
        <v>100</v>
      </c>
      <c r="B10" s="22" t="s">
        <v>7</v>
      </c>
      <c r="C10" s="22" t="s">
        <v>8</v>
      </c>
      <c r="D10" s="22" t="s">
        <v>73</v>
      </c>
      <c r="E10" s="22" t="s">
        <v>104</v>
      </c>
      <c r="F10" s="22" t="s">
        <v>105</v>
      </c>
      <c r="G10" s="22" t="s">
        <v>106</v>
      </c>
    </row>
    <row r="11" spans="1:7" ht="12.75">
      <c r="A11" s="22" t="s">
        <v>101</v>
      </c>
      <c r="B11" s="23"/>
      <c r="C11" s="23"/>
      <c r="D11" s="29">
        <v>13</v>
      </c>
      <c r="E11" s="29" t="s">
        <v>107</v>
      </c>
      <c r="F11" s="29" t="s">
        <v>116</v>
      </c>
      <c r="G11" s="23"/>
    </row>
    <row r="12" spans="2:7" ht="12.75">
      <c r="B12" s="2">
        <f>IF(B11="","",IF(B11=10,TRUE,FALSE))</f>
      </c>
      <c r="C12" s="2">
        <f>IF(C11="","",IF(C11=8,TRUE,FALSE))</f>
      </c>
      <c r="D12" s="4" t="s">
        <v>87</v>
      </c>
      <c r="E12" s="4" t="s">
        <v>87</v>
      </c>
      <c r="F12" s="4" t="s">
        <v>87</v>
      </c>
      <c r="G12" s="2">
        <f>IF(G11="","",IF(G11=54,TRUE,FALSE))</f>
      </c>
    </row>
    <row r="13" s="4" customFormat="1" ht="12.75"/>
    <row r="15" spans="1:7" ht="12.75">
      <c r="A15" s="22" t="s">
        <v>100</v>
      </c>
      <c r="B15" s="22" t="s">
        <v>7</v>
      </c>
      <c r="C15" s="22" t="s">
        <v>8</v>
      </c>
      <c r="D15" s="22" t="s">
        <v>73</v>
      </c>
      <c r="E15" s="22" t="s">
        <v>104</v>
      </c>
      <c r="F15" s="22" t="s">
        <v>105</v>
      </c>
      <c r="G15" s="22" t="s">
        <v>106</v>
      </c>
    </row>
    <row r="16" spans="1:7" ht="12.75">
      <c r="A16" s="22" t="s">
        <v>101</v>
      </c>
      <c r="B16" s="29">
        <v>57</v>
      </c>
      <c r="C16" s="23"/>
      <c r="D16" s="23"/>
      <c r="E16" s="29" t="s">
        <v>110</v>
      </c>
      <c r="F16" s="29" t="s">
        <v>107</v>
      </c>
      <c r="G16" s="23"/>
    </row>
    <row r="17" spans="2:7" ht="12.75">
      <c r="B17" s="4" t="s">
        <v>87</v>
      </c>
      <c r="C17" s="2">
        <f>IF(C16="","",IF(C16=81,TRUE,FALSE))</f>
      </c>
      <c r="D17" s="2">
        <f>IF(D16="","",IF(D16=99,TRUE,FALSE))</f>
      </c>
      <c r="E17" s="4" t="s">
        <v>87</v>
      </c>
      <c r="F17" s="4" t="s">
        <v>87</v>
      </c>
      <c r="G17" s="2">
        <f>IF(G16="","",IF(G16=35,TRUE,FALSE))</f>
      </c>
    </row>
    <row r="18" s="4" customFormat="1" ht="12.75"/>
    <row r="20" spans="1:7" ht="12.75">
      <c r="A20" s="22" t="s">
        <v>100</v>
      </c>
      <c r="B20" s="22" t="s">
        <v>7</v>
      </c>
      <c r="C20" s="22" t="s">
        <v>8</v>
      </c>
      <c r="D20" s="22" t="s">
        <v>73</v>
      </c>
      <c r="E20" s="22" t="s">
        <v>104</v>
      </c>
      <c r="F20" s="22" t="s">
        <v>105</v>
      </c>
      <c r="G20" s="22" t="s">
        <v>106</v>
      </c>
    </row>
    <row r="21" spans="1:7" ht="12.75">
      <c r="A21" s="22" t="s">
        <v>101</v>
      </c>
      <c r="B21" s="29">
        <v>50</v>
      </c>
      <c r="C21" s="23"/>
      <c r="D21" s="23"/>
      <c r="E21" s="23"/>
      <c r="F21" s="29" t="s">
        <v>111</v>
      </c>
      <c r="G21" s="29" t="s">
        <v>107</v>
      </c>
    </row>
    <row r="22" spans="2:7" ht="12.75">
      <c r="B22" s="4" t="s">
        <v>87</v>
      </c>
      <c r="C22" s="2">
        <f>IF(C21="","",IF(C21=47,TRUE,FALSE))</f>
      </c>
      <c r="D22" s="2">
        <f>IF(D21="","",IF(D21=17,TRUE,FALSE))</f>
      </c>
      <c r="E22" s="2">
        <f>IF(E21="","",IF(E21=20,TRUE,FALSE))</f>
      </c>
      <c r="F22" s="4" t="s">
        <v>87</v>
      </c>
      <c r="G22" s="4" t="s">
        <v>87</v>
      </c>
    </row>
    <row r="24" spans="1:7" s="43" customFormat="1" ht="12.75">
      <c r="A24" s="40" t="s">
        <v>161</v>
      </c>
      <c r="B24" s="42"/>
      <c r="D24" s="44" t="s">
        <v>160</v>
      </c>
      <c r="G24" s="40"/>
    </row>
  </sheetData>
  <sheetProtection password="DCC5" sheet="1" objects="1" scenarios="1"/>
  <hyperlinks>
    <hyperlink ref="A24" location="'e50'!A1" display="'e50'!A1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G18" sqref="G18"/>
    </sheetView>
  </sheetViews>
  <sheetFormatPr defaultColWidth="11.421875" defaultRowHeight="12.75"/>
  <cols>
    <col min="1" max="1" width="12.00390625" style="1" customWidth="1"/>
    <col min="2" max="2" width="6.140625" style="1" customWidth="1"/>
    <col min="3" max="3" width="5.7109375" style="1" bestFit="1" customWidth="1"/>
    <col min="4" max="4" width="3.8515625" style="1" customWidth="1"/>
    <col min="5" max="5" width="10.8515625" style="1" customWidth="1"/>
    <col min="6" max="7" width="5.7109375" style="1" customWidth="1"/>
    <col min="8" max="8" width="3.57421875" style="1" customWidth="1"/>
    <col min="9" max="9" width="11.421875" style="1" customWidth="1"/>
    <col min="10" max="10" width="6.57421875" style="1" bestFit="1" customWidth="1"/>
    <col min="11" max="11" width="5.7109375" style="1" bestFit="1" customWidth="1"/>
    <col min="12" max="16384" width="11.421875" style="1" customWidth="1"/>
  </cols>
  <sheetData>
    <row r="1" s="5" customFormat="1" ht="12.75">
      <c r="A1" s="5" t="s">
        <v>11</v>
      </c>
    </row>
    <row r="3" spans="1:2" ht="12.75">
      <c r="A3" s="6" t="s">
        <v>2</v>
      </c>
      <c r="B3" s="1" t="s">
        <v>21</v>
      </c>
    </row>
    <row r="5" spans="1:11" ht="12.75">
      <c r="A5" s="17" t="s">
        <v>19</v>
      </c>
      <c r="B5" s="3"/>
      <c r="C5" s="2">
        <f>IF(B5="","",IF(B5=0,TRUE,FALSE))</f>
      </c>
      <c r="E5" s="17" t="s">
        <v>20</v>
      </c>
      <c r="F5" s="3"/>
      <c r="G5" s="2">
        <f>IF(F5="","",IF(F5=0.622,TRUE,FALSE))</f>
      </c>
      <c r="I5" s="17" t="s">
        <v>17</v>
      </c>
      <c r="J5" s="3"/>
      <c r="K5" s="2">
        <f>IF(J5="","",IF(J5=-0.479,TRUE,FALSE))</f>
      </c>
    </row>
    <row r="6" spans="1:10" ht="12.75">
      <c r="A6" s="19"/>
      <c r="B6" s="20"/>
      <c r="C6" s="21"/>
      <c r="E6" s="19"/>
      <c r="F6" s="20"/>
      <c r="G6" s="21"/>
      <c r="I6" s="19"/>
      <c r="J6" s="20"/>
    </row>
    <row r="7" spans="1:11" ht="12.75">
      <c r="A7" s="17" t="s">
        <v>13</v>
      </c>
      <c r="B7" s="3"/>
      <c r="C7" s="2">
        <f>IF(B7="","",IF(B7=0.389,TRUE,FALSE))</f>
      </c>
      <c r="E7" s="17" t="s">
        <v>15</v>
      </c>
      <c r="F7" s="3"/>
      <c r="G7" s="2">
        <f>IF(F7="","",IF(F7=-1.886,TRUE,FALSE))</f>
      </c>
      <c r="I7" s="17" t="s">
        <v>18</v>
      </c>
      <c r="J7" s="3"/>
      <c r="K7" s="2">
        <f>IF(J7="","",IF(J7=-0.967,TRUE,FALSE))</f>
      </c>
    </row>
    <row r="8" spans="1:10" ht="12.75">
      <c r="A8" s="19"/>
      <c r="B8" s="20"/>
      <c r="C8" s="21"/>
      <c r="E8" s="19"/>
      <c r="F8" s="20"/>
      <c r="G8" s="21"/>
      <c r="I8" s="19"/>
      <c r="J8" s="20"/>
    </row>
    <row r="9" spans="1:11" ht="12.75">
      <c r="A9" s="17" t="s">
        <v>14</v>
      </c>
      <c r="B9" s="3"/>
      <c r="C9" s="2">
        <f>IF(B9="","",IF(B9=-0.539,TRUE,FALSE))</f>
      </c>
      <c r="E9" s="17" t="s">
        <v>16</v>
      </c>
      <c r="F9" s="3"/>
      <c r="G9" s="2">
        <f>IF(F9="","",IF(F9=2.185,TRUE,FALSE))</f>
      </c>
      <c r="I9" s="17" t="s">
        <v>12</v>
      </c>
      <c r="J9" s="3"/>
      <c r="K9" s="2">
        <f>IF(J9="","",IF(J9=1,TRUE,FALSE))</f>
      </c>
    </row>
    <row r="12" spans="1:2" ht="12.75">
      <c r="A12" s="6" t="s">
        <v>9</v>
      </c>
      <c r="B12" s="1" t="s">
        <v>22</v>
      </c>
    </row>
    <row r="14" spans="1:11" ht="12.75">
      <c r="A14" s="17" t="s">
        <v>19</v>
      </c>
      <c r="B14" s="3"/>
      <c r="C14" s="2">
        <f>IF(B14="","",IF(B14=0,TRUE,FALSE))</f>
      </c>
      <c r="E14" s="17" t="s">
        <v>27</v>
      </c>
      <c r="F14" s="3"/>
      <c r="G14" s="2">
        <f>IF(F14="","",IF(F14=0.866,TRUE,FALSE))</f>
      </c>
      <c r="I14" s="17" t="s">
        <v>28</v>
      </c>
      <c r="J14" s="3"/>
      <c r="K14" s="2">
        <f>IF(J14="","",IF(J14=-0.5,TRUE,FALSE))</f>
      </c>
    </row>
    <row r="15" spans="1:10" ht="12.75">
      <c r="A15" s="19"/>
      <c r="B15" s="20"/>
      <c r="C15" s="21"/>
      <c r="E15" s="19"/>
      <c r="F15" s="20"/>
      <c r="G15" s="21"/>
      <c r="I15" s="19"/>
      <c r="J15" s="20"/>
    </row>
    <row r="16" spans="1:11" ht="12.75">
      <c r="A16" s="17" t="s">
        <v>23</v>
      </c>
      <c r="B16" s="3"/>
      <c r="C16" s="2">
        <f>IF(B16="","",IF(B16=0.643,TRUE,FALSE))</f>
      </c>
      <c r="E16" s="17" t="s">
        <v>25</v>
      </c>
      <c r="F16" s="3"/>
      <c r="G16" s="2">
        <f>IF(F16="","",IF(F16=1.732,TRUE,FALSE))</f>
      </c>
      <c r="I16" s="17" t="s">
        <v>29</v>
      </c>
      <c r="J16" s="3"/>
      <c r="K16" s="2">
        <f>IF(J16="","",IF(J16=0.707,TRUE,FALSE))</f>
      </c>
    </row>
    <row r="17" spans="1:10" ht="12.75">
      <c r="A17" s="19"/>
      <c r="B17" s="20"/>
      <c r="C17" s="21"/>
      <c r="E17" s="19"/>
      <c r="F17" s="20"/>
      <c r="G17" s="21"/>
      <c r="I17" s="19"/>
      <c r="J17" s="20"/>
    </row>
    <row r="18" spans="1:11" ht="12.75">
      <c r="A18" s="17" t="s">
        <v>24</v>
      </c>
      <c r="B18" s="3"/>
      <c r="C18" s="2">
        <f>IF(B18="","",IF(B18=0.866,TRUE,FALSE))</f>
      </c>
      <c r="E18" s="17" t="s">
        <v>26</v>
      </c>
      <c r="F18" s="3"/>
      <c r="G18" s="2">
        <f>IF(F18="","",IF(F18=-1.732,TRUE,FALSE))</f>
      </c>
      <c r="I18" s="17" t="s">
        <v>30</v>
      </c>
      <c r="J18" s="3"/>
      <c r="K18" s="2">
        <f>IF(J18="","",IF(J18=0.707,TRUE,FALSE))</f>
      </c>
    </row>
    <row r="20" spans="1:10" ht="12.75">
      <c r="A20" s="40" t="s">
        <v>161</v>
      </c>
      <c r="B20"/>
      <c r="E20" s="52" t="s">
        <v>160</v>
      </c>
      <c r="F20" s="52"/>
      <c r="J20" s="41" t="s">
        <v>162</v>
      </c>
    </row>
    <row r="24" ht="15">
      <c r="J24" s="34"/>
    </row>
    <row r="25" ht="12.75">
      <c r="I25" s="7"/>
    </row>
  </sheetData>
  <sheetProtection password="DCC5" sheet="1" objects="1" scenarios="1"/>
  <mergeCells count="1">
    <mergeCell ref="E20:F20"/>
  </mergeCells>
  <hyperlinks>
    <hyperlink ref="J20" location="'e3'!A1" display="'e3'!A1"/>
    <hyperlink ref="E20:F20" location="Sommaire!A1" display="Sommaire!A1"/>
    <hyperlink ref="A20" location="'e1'!A1" display="'e1'!A1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C9" sqref="C9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="5" customFormat="1" ht="12.75">
      <c r="A1" s="5" t="s">
        <v>32</v>
      </c>
    </row>
    <row r="3" spans="1:6" ht="12.75">
      <c r="A3" s="22" t="s">
        <v>33</v>
      </c>
      <c r="B3" s="22">
        <v>0</v>
      </c>
      <c r="C3" s="22">
        <v>20</v>
      </c>
      <c r="D3" s="22">
        <v>30</v>
      </c>
      <c r="E3" s="22">
        <v>60</v>
      </c>
      <c r="F3" s="22">
        <v>120</v>
      </c>
    </row>
    <row r="4" spans="1:6" ht="12.75">
      <c r="A4" s="22" t="s">
        <v>31</v>
      </c>
      <c r="B4" s="23"/>
      <c r="C4" s="23"/>
      <c r="D4" s="23"/>
      <c r="E4" s="23"/>
      <c r="F4" s="23"/>
    </row>
    <row r="5" spans="2:6" ht="12.75">
      <c r="B5" s="2">
        <f>IF(B4="","",IF(B4=ROUND(COS(B3*3.14159/180),3),TRUE,FALSE))</f>
      </c>
      <c r="C5" s="2">
        <f>IF(C4="","",IF(C4=ROUND(COS(C3*3.14159/180),3),TRUE,FALSE))</f>
      </c>
      <c r="D5" s="2">
        <f>IF(D4="","",IF(D4=ROUND(COS(D3*3.14159/180),3),TRUE,FALSE))</f>
      </c>
      <c r="E5" s="2">
        <f>IF(E4="","",IF(E4=ROUND(COS(E3*3.14159/180),3),TRUE,FALSE))</f>
      </c>
      <c r="F5" s="2">
        <f>IF(F4="","",IF(F4=ROUND(COS(F3*3.14159/180),3),TRUE,FALSE))</f>
      </c>
    </row>
    <row r="7" spans="1:6" ht="12.75">
      <c r="A7" s="22" t="s">
        <v>33</v>
      </c>
      <c r="B7" s="22">
        <v>-20</v>
      </c>
      <c r="C7" s="22">
        <v>-30</v>
      </c>
      <c r="D7" s="22">
        <v>-40</v>
      </c>
      <c r="E7" s="22">
        <v>-50</v>
      </c>
      <c r="F7" s="22">
        <v>-90</v>
      </c>
    </row>
    <row r="8" spans="1:6" ht="12.75">
      <c r="A8" s="22" t="s">
        <v>31</v>
      </c>
      <c r="B8" s="23"/>
      <c r="C8" s="23"/>
      <c r="D8" s="23"/>
      <c r="E8" s="23"/>
      <c r="F8" s="23"/>
    </row>
    <row r="9" spans="2:6" ht="12.75">
      <c r="B9" s="2">
        <f>IF(B8="","",IF(B8=ROUND(COS(B7*3.14159/180),3),TRUE,FALSE))</f>
      </c>
      <c r="C9" s="2">
        <f>IF(C8="","",IF(C8=ROUND(COS(C7*3.14159/180),3),TRUE,FALSE))</f>
      </c>
      <c r="D9" s="2">
        <f>IF(D8="","",IF(D8=ROUND(COS(D7*3.14159/180),3),TRUE,FALSE))</f>
      </c>
      <c r="E9" s="2">
        <f>IF(E8="","",IF(E8=ROUND(COS(E7*3.14159/180),3),TRUE,FALSE))</f>
      </c>
      <c r="F9" s="2">
        <f>IF(F8="","",IF(F8=ROUND(COS(F7*3.14159/180),3),TRUE,FALSE))</f>
      </c>
    </row>
    <row r="11" spans="1:6" ht="12.75">
      <c r="A11" s="22" t="s">
        <v>33</v>
      </c>
      <c r="B11" s="22">
        <v>0</v>
      </c>
      <c r="C11" s="22">
        <v>20</v>
      </c>
      <c r="D11" s="22">
        <v>30</v>
      </c>
      <c r="E11" s="22">
        <v>60</v>
      </c>
      <c r="F11" s="22">
        <v>120</v>
      </c>
    </row>
    <row r="12" spans="1:6" ht="12.75">
      <c r="A12" s="22" t="s">
        <v>34</v>
      </c>
      <c r="B12" s="23"/>
      <c r="C12" s="23"/>
      <c r="D12" s="23"/>
      <c r="E12" s="23"/>
      <c r="F12" s="23"/>
    </row>
    <row r="13" spans="2:6" ht="12.75">
      <c r="B13" s="2">
        <f>IF(B12="","",IF(B12=ROUND(SIN(B11*3.14159/180),3),TRUE,FALSE))</f>
      </c>
      <c r="C13" s="2">
        <f>IF(C12="","",IF(C12=ROUND(SIN(C11*3.14159/180),3),TRUE,FALSE))</f>
      </c>
      <c r="D13" s="2">
        <f>IF(D12="","",IF(D12=ROUND(SIN(D11*3.14159/180),3),TRUE,FALSE))</f>
      </c>
      <c r="E13" s="2">
        <f>IF(E12="","",IF(E12=ROUND(SIN(E11*3.14159/180),3),TRUE,FALSE))</f>
      </c>
      <c r="F13" s="2">
        <f>IF(F12="","",IF(F12=ROUND(SIN(F11*3.14159/180),3),TRUE,FALSE))</f>
      </c>
    </row>
    <row r="15" spans="1:6" ht="12.75">
      <c r="A15" s="22" t="s">
        <v>33</v>
      </c>
      <c r="B15" s="22">
        <v>-20</v>
      </c>
      <c r="C15" s="22">
        <v>-30</v>
      </c>
      <c r="D15" s="22">
        <v>-40</v>
      </c>
      <c r="E15" s="22">
        <v>-50</v>
      </c>
      <c r="F15" s="22">
        <v>-90</v>
      </c>
    </row>
    <row r="16" spans="1:6" ht="12.75">
      <c r="A16" s="22" t="s">
        <v>34</v>
      </c>
      <c r="B16" s="23"/>
      <c r="C16" s="23"/>
      <c r="D16" s="23"/>
      <c r="E16" s="23"/>
      <c r="F16" s="23"/>
    </row>
    <row r="17" spans="2:6" ht="12.75">
      <c r="B17" s="2">
        <f>IF(B16="","",IF(B16=ROUND(SIN(B15*3.14159/180),3),TRUE,FALSE))</f>
      </c>
      <c r="C17" s="2">
        <f>IF(C16="","",IF(C16=ROUND(SIN(C15*3.14159/180),3),TRUE,FALSE))</f>
      </c>
      <c r="D17" s="2">
        <f>IF(D16="","",IF(D16=ROUND(SIN(D15*3.14159/180),3),TRUE,FALSE))</f>
      </c>
      <c r="E17" s="2">
        <f>IF(E16="","",IF(E16=ROUND(SIN(E15*3.14159/180),3),TRUE,FALSE))</f>
      </c>
      <c r="F17" s="2">
        <f>IF(F16="","",IF(F16=ROUND(SIN(F15*3.14159/180),3),TRUE,FALSE))</f>
      </c>
    </row>
    <row r="20" spans="1:6" ht="12.75">
      <c r="A20" s="22" t="s">
        <v>33</v>
      </c>
      <c r="B20" s="22">
        <v>-20</v>
      </c>
      <c r="C20" s="22">
        <v>-30</v>
      </c>
      <c r="D20" s="22">
        <v>-40</v>
      </c>
      <c r="E20" s="22">
        <v>-50</v>
      </c>
      <c r="F20" s="22">
        <v>-100</v>
      </c>
    </row>
    <row r="21" spans="1:6" ht="12.75">
      <c r="A21" s="22" t="s">
        <v>35</v>
      </c>
      <c r="B21" s="23"/>
      <c r="C21" s="23"/>
      <c r="D21" s="23"/>
      <c r="E21" s="23"/>
      <c r="F21" s="23"/>
    </row>
    <row r="22" spans="2:6" ht="12.75">
      <c r="B22" s="2">
        <f>IF(B21="","",IF(B21=ROUND(TAN(B20*3.14159/180),3),TRUE,FALSE))</f>
      </c>
      <c r="C22" s="2">
        <f>IF(C21="","",IF(C21=ROUND(TAN(C20*3.14159/180),3),TRUE,FALSE))</f>
      </c>
      <c r="D22" s="2">
        <f>IF(D21="","",IF(D21=ROUND(TAN(D20*3.14159/180),3),TRUE,FALSE))</f>
      </c>
      <c r="E22" s="2">
        <f>IF(E21="","",IF(E21=ROUND(TAN(E20*3.14159/180),3),TRUE,FALSE))</f>
      </c>
      <c r="F22" s="2">
        <f>IF(F21="","",IF(F21=ROUND(TAN(F20*3.14159/180),3),TRUE,FALSE))</f>
      </c>
    </row>
    <row r="24" spans="1:6" ht="12.75">
      <c r="A24" s="40" t="s">
        <v>161</v>
      </c>
      <c r="B24"/>
      <c r="C24" s="52" t="s">
        <v>160</v>
      </c>
      <c r="D24" s="52"/>
      <c r="F24" s="41" t="s">
        <v>162</v>
      </c>
    </row>
  </sheetData>
  <sheetProtection password="DCC5" sheet="1" objects="1" scenarios="1"/>
  <mergeCells count="1">
    <mergeCell ref="C24:D24"/>
  </mergeCells>
  <hyperlinks>
    <hyperlink ref="F24" location="'e3'!A1" display="'e3'!A1"/>
    <hyperlink ref="C24:D24" location="Sommaire!A1" display="Sommaire!A1"/>
    <hyperlink ref="A24" location="'e1'!A1" display="'e1'!A1"/>
  </hyperlinks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G5" sqref="G5"/>
    </sheetView>
  </sheetViews>
  <sheetFormatPr defaultColWidth="11.421875" defaultRowHeight="12.75"/>
  <cols>
    <col min="1" max="1" width="12.00390625" style="1" customWidth="1"/>
    <col min="2" max="2" width="6.140625" style="1" customWidth="1"/>
    <col min="3" max="3" width="5.7109375" style="1" customWidth="1"/>
    <col min="4" max="4" width="3.8515625" style="1" customWidth="1"/>
    <col min="5" max="5" width="13.140625" style="1" bestFit="1" customWidth="1"/>
    <col min="6" max="7" width="5.7109375" style="1" customWidth="1"/>
    <col min="8" max="8" width="3.57421875" style="1" customWidth="1"/>
    <col min="9" max="9" width="13.140625" style="1" bestFit="1" customWidth="1"/>
    <col min="10" max="10" width="6.57421875" style="1" customWidth="1"/>
    <col min="11" max="11" width="5.7109375" style="1" customWidth="1"/>
    <col min="12" max="16384" width="11.421875" style="1" customWidth="1"/>
  </cols>
  <sheetData>
    <row r="1" s="5" customFormat="1" ht="12.75">
      <c r="A1" s="5" t="s">
        <v>37</v>
      </c>
    </row>
    <row r="3" spans="1:2" ht="12.75">
      <c r="A3" s="6" t="s">
        <v>2</v>
      </c>
      <c r="B3" s="1" t="s">
        <v>113</v>
      </c>
    </row>
    <row r="5" spans="1:11" ht="14.25">
      <c r="A5" s="17" t="s">
        <v>38</v>
      </c>
      <c r="B5" s="3"/>
      <c r="C5" s="2">
        <f>IF(B5="","",IF(B5=0,TRUE,FALSE))</f>
      </c>
      <c r="E5" s="17" t="s">
        <v>46</v>
      </c>
      <c r="F5" s="3"/>
      <c r="G5" s="2">
        <f>IF(F5="","",IF(F5=0.785,TRUE,FALSE))</f>
      </c>
      <c r="I5" s="17" t="s">
        <v>47</v>
      </c>
      <c r="J5" s="3"/>
      <c r="K5" s="2">
        <f>IF(J5="","",IF(J5=-0.479,TRUE,FALSE))</f>
      </c>
    </row>
    <row r="6" spans="1:10" ht="12.75">
      <c r="A6" s="19"/>
      <c r="B6" s="20"/>
      <c r="C6" s="21"/>
      <c r="E6" s="19"/>
      <c r="F6" s="20"/>
      <c r="G6" s="21"/>
      <c r="I6" s="19"/>
      <c r="J6" s="20"/>
    </row>
    <row r="7" spans="1:11" ht="14.25">
      <c r="A7" s="17" t="s">
        <v>40</v>
      </c>
      <c r="B7" s="3"/>
      <c r="C7" s="2">
        <f>IF(B7="","",IF(B7=0.524,TRUE,FALSE))</f>
      </c>
      <c r="E7" s="17" t="s">
        <v>41</v>
      </c>
      <c r="F7" s="3"/>
      <c r="G7" s="2">
        <f>IF(F7="","",IF(F7=0.588,TRUE,FALSE))</f>
      </c>
      <c r="I7" s="17" t="s">
        <v>43</v>
      </c>
      <c r="J7" s="3"/>
      <c r="K7" s="2">
        <f>IF(J7="","",IF(J7=1.571,TRUE,FALSE))</f>
      </c>
    </row>
    <row r="8" spans="1:10" ht="12.75">
      <c r="A8" s="19"/>
      <c r="B8" s="20"/>
      <c r="C8" s="21"/>
      <c r="E8" s="19"/>
      <c r="F8" s="20"/>
      <c r="G8" s="21"/>
      <c r="I8" s="19"/>
      <c r="J8" s="20"/>
    </row>
    <row r="9" spans="1:11" ht="14.25">
      <c r="A9" s="17" t="s">
        <v>39</v>
      </c>
      <c r="B9" s="3"/>
      <c r="C9" s="2">
        <f>IF(B9="","",IF(B9=1.12,TRUE,FALSE))</f>
      </c>
      <c r="E9" s="17" t="s">
        <v>42</v>
      </c>
      <c r="F9" s="3"/>
      <c r="G9" s="2">
        <f>IF(F9="","",IF(F9=0.901,TRUE,FALSE))</f>
      </c>
      <c r="I9" s="17" t="s">
        <v>44</v>
      </c>
      <c r="J9" s="3"/>
      <c r="K9" s="2">
        <f>IF(J9="","",IF(J9=-1.571,TRUE,FALSE))</f>
      </c>
    </row>
    <row r="12" spans="1:2" ht="12.75">
      <c r="A12" s="6" t="s">
        <v>9</v>
      </c>
      <c r="B12" s="1" t="s">
        <v>114</v>
      </c>
    </row>
    <row r="14" spans="1:11" ht="14.25">
      <c r="A14" s="17" t="s">
        <v>38</v>
      </c>
      <c r="B14" s="3"/>
      <c r="C14" s="2">
        <f>IF(B14="","",IF(B14=0,TRUE,FALSE))</f>
      </c>
      <c r="E14" s="17" t="s">
        <v>46</v>
      </c>
      <c r="F14" s="3"/>
      <c r="G14" s="2">
        <f>IF(F14="","",IF(F14=45,TRUE,FALSE))</f>
      </c>
      <c r="I14" s="17" t="s">
        <v>48</v>
      </c>
      <c r="J14" s="3"/>
      <c r="K14" s="2">
        <f>IF(J14="","",IF(J14=-28,TRUE,FALSE))</f>
      </c>
    </row>
    <row r="15" spans="1:10" ht="12.75">
      <c r="A15" s="19"/>
      <c r="B15" s="20"/>
      <c r="C15" s="21"/>
      <c r="E15" s="19"/>
      <c r="F15" s="20"/>
      <c r="G15" s="21"/>
      <c r="I15" s="19"/>
      <c r="J15" s="20"/>
    </row>
    <row r="16" spans="1:11" ht="14.25">
      <c r="A16" s="17" t="s">
        <v>40</v>
      </c>
      <c r="B16" s="3"/>
      <c r="C16" s="2">
        <f>IF(B16="","",IF(B16=30,TRUE,FALSE))</f>
      </c>
      <c r="E16" s="17" t="s">
        <v>41</v>
      </c>
      <c r="F16" s="3"/>
      <c r="G16" s="2">
        <f>IF(F16="","",IF(F16=34,TRUE,FALSE))</f>
      </c>
      <c r="I16" s="17" t="s">
        <v>44</v>
      </c>
      <c r="J16" s="3"/>
      <c r="K16" s="2">
        <f>IF(J16="","",IF(J16=-90,TRUE,FALSE))</f>
      </c>
    </row>
    <row r="17" spans="1:10" ht="12.75">
      <c r="A17" s="19"/>
      <c r="B17" s="20"/>
      <c r="C17" s="21"/>
      <c r="E17" s="19"/>
      <c r="F17" s="20"/>
      <c r="G17" s="21"/>
      <c r="I17" s="19"/>
      <c r="J17" s="20"/>
    </row>
    <row r="18" spans="1:11" ht="14.25">
      <c r="A18" s="17" t="s">
        <v>39</v>
      </c>
      <c r="B18" s="3"/>
      <c r="C18" s="2">
        <f>IF(B18="","",IF(B18=64,TRUE,FALSE))</f>
      </c>
      <c r="E18" s="17" t="s">
        <v>45</v>
      </c>
      <c r="F18" s="3"/>
      <c r="G18" s="2">
        <f>IF(F18="","",IF(F18=-52,TRUE,FALSE))</f>
      </c>
      <c r="I18" s="17" t="s">
        <v>43</v>
      </c>
      <c r="J18" s="3"/>
      <c r="K18" s="2">
        <f>IF(J18="","",IF(J18=90,TRUE,FALSE))</f>
      </c>
    </row>
    <row r="21" spans="1:9" s="43" customFormat="1" ht="12.75">
      <c r="A21" s="40" t="s">
        <v>161</v>
      </c>
      <c r="B21" s="42"/>
      <c r="E21" s="52" t="s">
        <v>160</v>
      </c>
      <c r="F21" s="52"/>
      <c r="I21" s="40" t="s">
        <v>162</v>
      </c>
    </row>
  </sheetData>
  <sheetProtection password="DCC5" sheet="1" objects="1" scenarios="1"/>
  <mergeCells count="1">
    <mergeCell ref="E21:F21"/>
  </mergeCells>
  <hyperlinks>
    <hyperlink ref="E21:F21" location="Sommaire!A1" display="Sommaire!A1"/>
    <hyperlink ref="A21" location="'e2'!A1" display="'e2'!A1"/>
    <hyperlink ref="I21" location="'e4'!A1" display="'e4'!A1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D5" sqref="D5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="5" customFormat="1" ht="12.75">
      <c r="A1" s="5" t="s">
        <v>36</v>
      </c>
    </row>
    <row r="3" spans="1:6" ht="12.75">
      <c r="A3" s="22" t="s">
        <v>31</v>
      </c>
      <c r="B3" s="22">
        <v>0</v>
      </c>
      <c r="C3" s="22">
        <v>-0.236</v>
      </c>
      <c r="D3" s="22">
        <v>0.95</v>
      </c>
      <c r="E3" s="22">
        <v>0.5</v>
      </c>
      <c r="F3" s="22">
        <v>1</v>
      </c>
    </row>
    <row r="4" spans="1:6" ht="12.75">
      <c r="A4" s="22" t="s">
        <v>33</v>
      </c>
      <c r="B4" s="23"/>
      <c r="C4" s="23"/>
      <c r="D4" s="23"/>
      <c r="E4" s="23"/>
      <c r="F4" s="23"/>
    </row>
    <row r="5" spans="2:6" ht="12.75">
      <c r="B5" s="2">
        <f>IF(B4="","",IF(B4=ROUND(ACOS(B3)/3.14159*180,0),TRUE,FALSE))</f>
      </c>
      <c r="C5" s="2">
        <f>IF(C4="","",IF(C4=ROUND(ACOS(C3)/3.14159*180,0),TRUE,FALSE))</f>
      </c>
      <c r="D5" s="2">
        <f>IF(D4="","",IF(D4=ROUND(ACOS(D3)/3.14159*180,0),TRUE,FALSE))</f>
      </c>
      <c r="E5" s="2">
        <f>IF(E4="","",IF(E4=ROUND(ACOS(E3)/3.14159*180,0),TRUE,FALSE))</f>
      </c>
      <c r="F5" s="2">
        <f>IF(F4="","",IF(F4=ROUND(ACOS(F3)/3.14159*180,0),TRUE,FALSE))</f>
      </c>
    </row>
    <row r="7" spans="1:6" ht="12.75">
      <c r="A7" s="22" t="s">
        <v>34</v>
      </c>
      <c r="B7" s="22">
        <v>0</v>
      </c>
      <c r="C7" s="22">
        <v>-0.561</v>
      </c>
      <c r="D7" s="22">
        <v>0.89</v>
      </c>
      <c r="E7" s="22">
        <v>-0.5</v>
      </c>
      <c r="F7" s="22">
        <v>-1</v>
      </c>
    </row>
    <row r="8" spans="1:6" ht="12.75">
      <c r="A8" s="22" t="s">
        <v>33</v>
      </c>
      <c r="B8" s="23"/>
      <c r="C8" s="23"/>
      <c r="D8" s="23"/>
      <c r="E8" s="23"/>
      <c r="F8" s="23"/>
    </row>
    <row r="9" spans="2:6" ht="12.75">
      <c r="B9" s="2">
        <f>IF(B8="","",IF(B8=ROUND(ASIN(B7)/3.14159*180,0),TRUE,FALSE))</f>
      </c>
      <c r="C9" s="2">
        <f>IF(C8="","",IF(C8=ROUND(ASIN(C7)/3.14159*180,0),TRUE,FALSE))</f>
      </c>
      <c r="D9" s="2">
        <f>IF(D8="","",IF(D8=ROUND(ASIN(D7)/3.14159*180,0),TRUE,FALSE))</f>
      </c>
      <c r="E9" s="2">
        <f>IF(E8="","",IF(E8=ROUND(ASIN(E7)/3.14159*180,0),TRUE,FALSE))</f>
      </c>
      <c r="F9" s="2">
        <f>IF(F8="","",IF(F8=ROUND(ASIN(F7)/3.14159*180,0),TRUE,FALSE))</f>
      </c>
    </row>
    <row r="11" spans="1:6" ht="12.75">
      <c r="A11" s="22" t="s">
        <v>35</v>
      </c>
      <c r="B11" s="22">
        <v>0</v>
      </c>
      <c r="C11" s="22">
        <v>-2.56</v>
      </c>
      <c r="D11" s="22">
        <v>1.246</v>
      </c>
      <c r="E11" s="22">
        <v>0.69</v>
      </c>
      <c r="F11" s="22">
        <v>1</v>
      </c>
    </row>
    <row r="12" spans="1:6" ht="12.75">
      <c r="A12" s="22" t="s">
        <v>33</v>
      </c>
      <c r="B12" s="23"/>
      <c r="C12" s="23"/>
      <c r="D12" s="23"/>
      <c r="E12" s="23"/>
      <c r="F12" s="23"/>
    </row>
    <row r="13" spans="2:6" ht="12.75">
      <c r="B13" s="2">
        <f>IF(B12="","",IF(B12=ROUND(ATAN(B11)/3.14159*180,0),TRUE,FALSE))</f>
      </c>
      <c r="C13" s="2">
        <f>IF(C12="","",IF(C12=ROUND(ATAN(C11)/3.14159*180,0),TRUE,FALSE))</f>
      </c>
      <c r="D13" s="2">
        <f>IF(D12="","",IF(D12=ROUND(ATAN(D11)/3.14159*180,0),TRUE,FALSE))</f>
      </c>
      <c r="E13" s="2">
        <f>IF(E12="","",IF(E12=ROUND(ATAN(E11)/3.14159*180,0),TRUE,FALSE))</f>
      </c>
      <c r="F13" s="2">
        <f>IF(F12="","",IF(F12=ROUND(ATAN(F11)/3.14159*180,0),TRUE,FALSE))</f>
      </c>
    </row>
    <row r="15" spans="1:6" s="43" customFormat="1" ht="12.75">
      <c r="A15" s="40" t="s">
        <v>161</v>
      </c>
      <c r="B15" s="42"/>
      <c r="C15" s="53" t="s">
        <v>160</v>
      </c>
      <c r="D15" s="52"/>
      <c r="F15" s="40" t="s">
        <v>162</v>
      </c>
    </row>
  </sheetData>
  <sheetProtection password="DCC5" sheet="1" objects="1" scenarios="1"/>
  <mergeCells count="1">
    <mergeCell ref="C15:D15"/>
  </mergeCells>
  <hyperlinks>
    <hyperlink ref="C15:D15" location="Sommaire!A1" display="Sommaire!A1"/>
    <hyperlink ref="A15" location="'e3'!A1" display="'e3'!A1"/>
    <hyperlink ref="F15" location="'e10'!A1" display="'e10'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5" sqref="C5"/>
    </sheetView>
  </sheetViews>
  <sheetFormatPr defaultColWidth="11.421875" defaultRowHeight="12.75"/>
  <cols>
    <col min="1" max="2" width="11.421875" style="1" customWidth="1"/>
    <col min="3" max="3" width="12.57421875" style="1" bestFit="1" customWidth="1"/>
    <col min="4" max="16384" width="11.421875" style="1" customWidth="1"/>
  </cols>
  <sheetData>
    <row r="1" s="31" customFormat="1" ht="12.75">
      <c r="A1" s="31" t="s">
        <v>115</v>
      </c>
    </row>
    <row r="2" s="31" customFormat="1" ht="12.75">
      <c r="A2" s="31" t="s">
        <v>0</v>
      </c>
    </row>
    <row r="5" spans="3:7" ht="12.75">
      <c r="C5" s="2">
        <f>IF(C6="","",IF(C6="hypoténuse",TRUE,FALSE))</f>
      </c>
      <c r="G5" s="2">
        <f>IF(G6="","",IF(G6="hypoténuse",TRUE,FALSE))</f>
      </c>
    </row>
    <row r="6" spans="3:7" ht="12.75">
      <c r="C6" s="3"/>
      <c r="G6" s="3"/>
    </row>
    <row r="7" spans="1:5" ht="12.75">
      <c r="A7" s="3"/>
      <c r="E7" s="3"/>
    </row>
    <row r="8" spans="1:5" ht="12.75">
      <c r="A8" s="2">
        <f>IF(A7="","",IF(A7="opposé",TRUE,FALSE))</f>
      </c>
      <c r="E8" s="2">
        <f>IF(E7="","",IF(E7="adjacent",TRUE,FALSE))</f>
      </c>
    </row>
    <row r="9" ht="12.75"/>
    <row r="10" spans="3:7" ht="12.75">
      <c r="C10" s="3"/>
      <c r="G10" s="3"/>
    </row>
    <row r="11" spans="3:7" ht="12.75">
      <c r="C11" s="2">
        <f>IF(C10="","",IF(C10="adjacent",TRUE,FALSE))</f>
      </c>
      <c r="G11" s="2">
        <f>IF(G10="","",IF(G10="opposé",TRUE,FALSE))</f>
      </c>
    </row>
    <row r="17" ht="12.75">
      <c r="C17" s="2">
        <f>IF(C18="","",IF(C18="opposé",TRUE,FALSE))</f>
      </c>
    </row>
    <row r="18" ht="12.75">
      <c r="C18" s="3"/>
    </row>
    <row r="19" spans="1:7" ht="12.75">
      <c r="A19" s="3"/>
      <c r="E19" s="3"/>
      <c r="G19" s="3"/>
    </row>
    <row r="20" spans="1:7" ht="12.75">
      <c r="A20" s="2">
        <f>IF(A19="","",IF(A19="adjacent",TRUE,FALSE))</f>
      </c>
      <c r="E20" s="2">
        <f>IF(E19="","",IF(E19="hypoténuse",TRUE,FALSE))</f>
      </c>
      <c r="G20" s="2">
        <f>IF(G19="","",IF(G19="adjacent",TRUE,FALSE))</f>
      </c>
    </row>
    <row r="21" ht="12.75"/>
    <row r="22" ht="12.75">
      <c r="C22" s="3"/>
    </row>
    <row r="23" ht="12.75">
      <c r="C23" s="2">
        <f>IF(C22="","",IF(C22="hypoténuse",TRUE,FALSE))</f>
      </c>
    </row>
    <row r="24" ht="12.75"/>
    <row r="25" ht="12.75">
      <c r="F25" s="2">
        <f>IF(F26="","",IF(F26="opposé",TRUE,FALSE))</f>
      </c>
    </row>
    <row r="26" ht="12.75">
      <c r="F26" s="3"/>
    </row>
    <row r="27" ht="12.75"/>
    <row r="28" spans="1:6" s="43" customFormat="1" ht="12.75">
      <c r="A28" s="40" t="s">
        <v>161</v>
      </c>
      <c r="B28" s="42"/>
      <c r="C28" s="53" t="s">
        <v>160</v>
      </c>
      <c r="D28" s="52"/>
      <c r="F28" s="40" t="s">
        <v>162</v>
      </c>
    </row>
  </sheetData>
  <sheetProtection password="DCC5" sheet="1" objects="1" scenarios="1"/>
  <mergeCells count="1">
    <mergeCell ref="C28:D28"/>
  </mergeCells>
  <hyperlinks>
    <hyperlink ref="C28:D28" location="Sommaire!A1" display="Sommaire!A1"/>
    <hyperlink ref="A28" location="'e4'!A1" display="'e4'!A1"/>
    <hyperlink ref="F28" location="'e11'!A1" display="'e11'!A1"/>
  </hyperlink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4" sqref="C4"/>
    </sheetView>
  </sheetViews>
  <sheetFormatPr defaultColWidth="11.421875" defaultRowHeight="12.75"/>
  <cols>
    <col min="1" max="3" width="11.421875" style="1" customWidth="1"/>
    <col min="4" max="4" width="8.28125" style="1" customWidth="1"/>
    <col min="5" max="16384" width="11.421875" style="1" customWidth="1"/>
  </cols>
  <sheetData>
    <row r="1" s="31" customFormat="1" ht="12.75">
      <c r="A1" s="31" t="s">
        <v>115</v>
      </c>
    </row>
    <row r="2" s="31" customFormat="1" ht="12.75">
      <c r="A2" s="31" t="s">
        <v>0</v>
      </c>
    </row>
    <row r="3" s="4" customFormat="1" ht="12.75"/>
    <row r="4" ht="12.75">
      <c r="C4" s="2">
        <f>IF(C5="","",IF(C5="adjacent",TRUE,FALSE))</f>
      </c>
    </row>
    <row r="5" ht="12.75">
      <c r="C5" s="3"/>
    </row>
    <row r="6" spans="1:7" ht="12.75">
      <c r="A6" s="3"/>
      <c r="E6" s="2">
        <f>IF(E7="","",IF(E7="adjacent",TRUE,FALSE))</f>
      </c>
      <c r="G6" s="3"/>
    </row>
    <row r="7" spans="1:7" ht="12.75">
      <c r="A7" s="2">
        <f>IF(A6="","",IF(A6="opposé",TRUE,FALSE))</f>
      </c>
      <c r="E7" s="3"/>
      <c r="G7" s="2">
        <f>IF(G6="","",IF(G6="opposé",TRUE,FALSE))</f>
      </c>
    </row>
    <row r="9" ht="12.75">
      <c r="C9" s="3"/>
    </row>
    <row r="10" ht="12.75">
      <c r="C10" s="2">
        <f>IF(C9="","",IF(C9="hypoténuse",TRUE,FALSE))</f>
      </c>
    </row>
    <row r="11" ht="12.75">
      <c r="F11" s="3"/>
    </row>
    <row r="12" ht="12.75">
      <c r="F12" s="2">
        <f>IF(F11="","",IF(F11="hypoténuse",TRUE,FALSE))</f>
      </c>
    </row>
    <row r="16" spans="3:5" ht="12.75">
      <c r="C16" s="2">
        <f>IF(C17="","",IF(C17="opposé",TRUE,FALSE))</f>
      </c>
      <c r="E16" s="3"/>
    </row>
    <row r="17" spans="3:5" ht="12.75">
      <c r="C17" s="3"/>
      <c r="E17" s="2">
        <f>IF(E16="","",IF(E16="adjacent",TRUE,FALSE))</f>
      </c>
    </row>
    <row r="18" ht="12.75">
      <c r="A18" s="3"/>
    </row>
    <row r="19" spans="1:7" ht="12.75">
      <c r="A19" s="2">
        <f>IF(A18="","",IF(A18="adjacent",TRUE,FALSE))</f>
      </c>
      <c r="G19" s="3"/>
    </row>
    <row r="20" ht="12.75">
      <c r="G20" s="2">
        <f>IF(G19="","",IF(G19="hypoténuse",TRUE,FALSE))</f>
      </c>
    </row>
    <row r="21" ht="12.75">
      <c r="C21" s="3"/>
    </row>
    <row r="22" spans="3:5" ht="12.75">
      <c r="C22" s="2">
        <f>IF(C21="","",IF(C21="hypoténuse",TRUE,FALSE))</f>
      </c>
      <c r="E22" s="2">
        <f>IF(E23="","",IF(E23="opposé",TRUE,FALSE))</f>
      </c>
    </row>
    <row r="23" ht="12.75">
      <c r="E23" s="3"/>
    </row>
    <row r="26" spans="1:6" s="43" customFormat="1" ht="12.75">
      <c r="A26" s="40" t="s">
        <v>161</v>
      </c>
      <c r="B26" s="42"/>
      <c r="C26" s="53" t="s">
        <v>160</v>
      </c>
      <c r="D26" s="52"/>
      <c r="F26" s="40" t="s">
        <v>162</v>
      </c>
    </row>
  </sheetData>
  <sheetProtection password="DCC5" sheet="1" objects="1" scenarios="1"/>
  <mergeCells count="1">
    <mergeCell ref="C26:D26"/>
  </mergeCells>
  <hyperlinks>
    <hyperlink ref="C26:D26" location="Sommaire!A1" display="Sommaire!A1"/>
    <hyperlink ref="A26" location="'e10'!A1" display="'e10'!A1"/>
    <hyperlink ref="F26" location="'e12'!A1" display="'e12'!A1"/>
  </hyperlinks>
  <printOptions/>
  <pageMargins left="0.75" right="0.75" top="1" bottom="1" header="0.4921259845" footer="0.492125984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="5" customFormat="1" ht="12.75">
      <c r="A1" s="5" t="s">
        <v>1</v>
      </c>
    </row>
    <row r="2" s="5" customFormat="1" ht="12.75">
      <c r="A2" s="5" t="s">
        <v>6</v>
      </c>
    </row>
    <row r="4" ht="12.75">
      <c r="A4" s="6" t="s">
        <v>2</v>
      </c>
    </row>
    <row r="5" ht="12.75">
      <c r="A5" s="6"/>
    </row>
    <row r="6" spans="1:3" ht="12.75">
      <c r="A6" s="24" t="s">
        <v>5</v>
      </c>
      <c r="B6" s="3"/>
      <c r="C6" s="2">
        <f>IF(B6="","",IF(OR(B6="BC",B6="CB"),TRUE,FALSE))</f>
      </c>
    </row>
    <row r="8" spans="1:3" ht="12.75">
      <c r="A8" s="8" t="s">
        <v>3</v>
      </c>
      <c r="B8" s="3"/>
      <c r="C8" s="2">
        <f>IF(B8="","",IF(OR(B8="AB",B8="BA"),TRUE,FALSE))</f>
      </c>
    </row>
    <row r="10" spans="1:3" ht="12.75">
      <c r="A10" s="8" t="s">
        <v>4</v>
      </c>
      <c r="B10" s="3"/>
      <c r="C10" s="2">
        <f>IF(B10="","",IF(OR(B10="AC",B10="CA"),TRUE,FALSE))</f>
      </c>
    </row>
    <row r="14" ht="12.75">
      <c r="A14" s="6" t="s">
        <v>9</v>
      </c>
    </row>
    <row r="15" ht="12.75">
      <c r="A15" s="6"/>
    </row>
    <row r="16" spans="1:3" ht="12.75">
      <c r="A16" s="24" t="s">
        <v>5</v>
      </c>
      <c r="B16" s="3"/>
      <c r="C16" s="2">
        <f>IF(B16="","",IF(OR(B16="AB",B16="BA"),TRUE,FALSE))</f>
      </c>
    </row>
    <row r="18" spans="1:3" ht="12.75">
      <c r="A18" s="8" t="s">
        <v>3</v>
      </c>
      <c r="B18" s="3"/>
      <c r="C18" s="2">
        <f>IF(B18="","",IF(OR(B18="AC",B18="CA"),TRUE,FALSE))</f>
      </c>
    </row>
    <row r="20" spans="1:3" ht="12.75">
      <c r="A20" s="8" t="s">
        <v>4</v>
      </c>
      <c r="B20" s="3"/>
      <c r="C20" s="2">
        <f>IF(B20="","",IF(OR(B20="BC",B20="CB"),TRUE,FALSE))</f>
      </c>
    </row>
    <row r="24" ht="12.75">
      <c r="A24" s="6" t="s">
        <v>10</v>
      </c>
    </row>
    <row r="25" ht="12.75">
      <c r="A25" s="6"/>
    </row>
    <row r="26" spans="1:3" ht="12.75">
      <c r="A26" s="24" t="s">
        <v>5</v>
      </c>
      <c r="B26" s="3"/>
      <c r="C26" s="2">
        <f>IF(B26="","",IF(OR(B26="AB",B26="BA"),TRUE,FALSE))</f>
      </c>
    </row>
    <row r="28" spans="1:3" ht="12.75">
      <c r="A28" s="8" t="s">
        <v>3</v>
      </c>
      <c r="B28" s="3"/>
      <c r="C28" s="2">
        <f>IF(B28="","",IF(OR(B28="BC",B28="CB"),TRUE,FALSE))</f>
      </c>
    </row>
    <row r="30" spans="1:3" ht="12.75">
      <c r="A30" s="8" t="s">
        <v>4</v>
      </c>
      <c r="B30" s="3"/>
      <c r="C30" s="2">
        <f>IF(B30="","",IF(OR(B30="AC",B30="CA"),TRUE,FALSE))</f>
      </c>
    </row>
    <row r="32" spans="1:6" s="43" customFormat="1" ht="12.75">
      <c r="A32" s="40" t="s">
        <v>161</v>
      </c>
      <c r="B32" s="42"/>
      <c r="C32" s="53" t="s">
        <v>160</v>
      </c>
      <c r="D32" s="52"/>
      <c r="F32" s="40" t="s">
        <v>162</v>
      </c>
    </row>
  </sheetData>
  <sheetProtection password="DCC5" sheet="1" objects="1" scenarios="1"/>
  <mergeCells count="1">
    <mergeCell ref="C32:D32"/>
  </mergeCells>
  <hyperlinks>
    <hyperlink ref="C32:D32" location="Sommaire!A1" display="Sommaire!A1"/>
    <hyperlink ref="A32" location="'e11'!A1" display="'e11'!A1"/>
    <hyperlink ref="F32" location="'e13'!A1" display="'e13'!A1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Lycée Prof. Beauregard</cp:lastModifiedBy>
  <dcterms:created xsi:type="dcterms:W3CDTF">2002-04-06T10:39:43Z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